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sactions Data" sheetId="1" state="visible" r:id="rId3"/>
    <sheet name="RFM Analysis" sheetId="2" state="visible" r:id="rId4"/>
    <sheet name="Cohort Retention" sheetId="3" state="visible" r:id="rId5"/>
    <sheet name="Executive Dashboar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<sst xmlns="http://schemas.openxmlformats.org/spreadsheetml/2006/main" count="956" uniqueCount="192">
  <si>
    <t xml:space="preserve">TRANSACTIONS DATA — Coreytics Demo (Source Data)</t>
  </si>
  <si>
    <t xml:space="preserve">One row per order. Cohort Month and Month Offset are helper columns used by the RFM and Cohort Retention sheets.</t>
  </si>
  <si>
    <t xml:space="preserve">Order ID</t>
  </si>
  <si>
    <t xml:space="preserve">Customer ID</t>
  </si>
  <si>
    <t xml:space="preserve">Customer Name</t>
  </si>
  <si>
    <t xml:space="preserve">Country</t>
  </si>
  <si>
    <t xml:space="preserve">Order Date</t>
  </si>
  <si>
    <t xml:space="preserve">Order Value</t>
  </si>
  <si>
    <t xml:space="preserve">Cohort Month</t>
  </si>
  <si>
    <t xml:space="preserve">Month Offset</t>
  </si>
  <si>
    <t xml:space="preserve">CUST-026</t>
  </si>
  <si>
    <t xml:space="preserve">Ella Lewis</t>
  </si>
  <si>
    <t xml:space="preserve">Canada</t>
  </si>
  <si>
    <t xml:space="preserve">CUST-063</t>
  </si>
  <si>
    <t xml:space="preserve">Daniel Baker</t>
  </si>
  <si>
    <t xml:space="preserve">Australia</t>
  </si>
  <si>
    <t xml:space="preserve">CUST-039</t>
  </si>
  <si>
    <t xml:space="preserve">Claire Young</t>
  </si>
  <si>
    <t xml:space="preserve">United Kingdom</t>
  </si>
  <si>
    <t xml:space="preserve">CUST-005</t>
  </si>
  <si>
    <t xml:space="preserve">Isabella Clark</t>
  </si>
  <si>
    <t xml:space="preserve">Germany</t>
  </si>
  <si>
    <t xml:space="preserve">CUST-043</t>
  </si>
  <si>
    <t xml:space="preserve">Brooklyn Young</t>
  </si>
  <si>
    <t xml:space="preserve">United States</t>
  </si>
  <si>
    <t xml:space="preserve">CUST-006</t>
  </si>
  <si>
    <t xml:space="preserve">Mason Johnson</t>
  </si>
  <si>
    <t xml:space="preserve">CUST-025</t>
  </si>
  <si>
    <t xml:space="preserve">Chloe Clark</t>
  </si>
  <si>
    <t xml:space="preserve">CUST-001</t>
  </si>
  <si>
    <t xml:space="preserve">Aria Anderson</t>
  </si>
  <si>
    <t xml:space="preserve">CUST-002</t>
  </si>
  <si>
    <t xml:space="preserve">Wyatt Taylor</t>
  </si>
  <si>
    <t xml:space="preserve">CUST-033</t>
  </si>
  <si>
    <t xml:space="preserve">Aiden Carter</t>
  </si>
  <si>
    <t xml:space="preserve">CUST-047</t>
  </si>
  <si>
    <t xml:space="preserve">John Green</t>
  </si>
  <si>
    <t xml:space="preserve">CUST-070</t>
  </si>
  <si>
    <t xml:space="preserve">Grace Scott</t>
  </si>
  <si>
    <t xml:space="preserve">CUST-008</t>
  </si>
  <si>
    <t xml:space="preserve">Luna Adams</t>
  </si>
  <si>
    <t xml:space="preserve">CUST-030</t>
  </si>
  <si>
    <t xml:space="preserve">Layla Johnson</t>
  </si>
  <si>
    <t xml:space="preserve">CUST-017</t>
  </si>
  <si>
    <t xml:space="preserve">Ava Lewis</t>
  </si>
  <si>
    <t xml:space="preserve">CUST-009</t>
  </si>
  <si>
    <t xml:space="preserve">Jack Young</t>
  </si>
  <si>
    <t xml:space="preserve">CUST-068</t>
  </si>
  <si>
    <t xml:space="preserve">Sophia Clark</t>
  </si>
  <si>
    <t xml:space="preserve">CUST-013</t>
  </si>
  <si>
    <t xml:space="preserve">Stella Scott</t>
  </si>
  <si>
    <t xml:space="preserve">CUST-061</t>
  </si>
  <si>
    <t xml:space="preserve">Claire Adams</t>
  </si>
  <si>
    <t xml:space="preserve">CUST-014</t>
  </si>
  <si>
    <t xml:space="preserve">Scarlett Wilson</t>
  </si>
  <si>
    <t xml:space="preserve">CUST-050</t>
  </si>
  <si>
    <t xml:space="preserve">William Wilson</t>
  </si>
  <si>
    <t xml:space="preserve">CUST-052</t>
  </si>
  <si>
    <t xml:space="preserve">Oscar Anderson</t>
  </si>
  <si>
    <t xml:space="preserve">CUST-007</t>
  </si>
  <si>
    <t xml:space="preserve">Grace Walker</t>
  </si>
  <si>
    <t xml:space="preserve">CUST-059</t>
  </si>
  <si>
    <t xml:space="preserve">John Anderson</t>
  </si>
  <si>
    <t xml:space="preserve">CUST-024</t>
  </si>
  <si>
    <t xml:space="preserve">Willow King</t>
  </si>
  <si>
    <t xml:space="preserve">CUST-032</t>
  </si>
  <si>
    <t xml:space="preserve">Mia Smith</t>
  </si>
  <si>
    <t xml:space="preserve">CUST-057</t>
  </si>
  <si>
    <t xml:space="preserve">Julian Wright</t>
  </si>
  <si>
    <t xml:space="preserve">CUST-042</t>
  </si>
  <si>
    <t xml:space="preserve">Jack Clark</t>
  </si>
  <si>
    <t xml:space="preserve">CUST-045</t>
  </si>
  <si>
    <t xml:space="preserve">Oscar Young</t>
  </si>
  <si>
    <t xml:space="preserve">CUST-064</t>
  </si>
  <si>
    <t xml:space="preserve">Robert Scott</t>
  </si>
  <si>
    <t xml:space="preserve">CUST-020</t>
  </si>
  <si>
    <t xml:space="preserve">Thomas Green</t>
  </si>
  <si>
    <t xml:space="preserve">CUST-066</t>
  </si>
  <si>
    <t xml:space="preserve">Ivy Baker</t>
  </si>
  <si>
    <t xml:space="preserve">CUST-038</t>
  </si>
  <si>
    <t xml:space="preserve">Peter Baker</t>
  </si>
  <si>
    <t xml:space="preserve">CUST-046</t>
  </si>
  <si>
    <t xml:space="preserve">Jacob Moore</t>
  </si>
  <si>
    <t xml:space="preserve">CUST-012</t>
  </si>
  <si>
    <t xml:space="preserve">Ella Clark</t>
  </si>
  <si>
    <t xml:space="preserve">CUST-018</t>
  </si>
  <si>
    <t xml:space="preserve">Luna Nelson</t>
  </si>
  <si>
    <t xml:space="preserve">CUST-062</t>
  </si>
  <si>
    <t xml:space="preserve">Olivia Clark</t>
  </si>
  <si>
    <t xml:space="preserve">CUST-036</t>
  </si>
  <si>
    <t xml:space="preserve">Aurora Green</t>
  </si>
  <si>
    <t xml:space="preserve">CUST-023</t>
  </si>
  <si>
    <t xml:space="preserve">Nora Anderson</t>
  </si>
  <si>
    <t xml:space="preserve">CUST-054</t>
  </si>
  <si>
    <t xml:space="preserve">Jack Moore</t>
  </si>
  <si>
    <t xml:space="preserve">CUST-015</t>
  </si>
  <si>
    <t xml:space="preserve">Scarlett Johnson</t>
  </si>
  <si>
    <t xml:space="preserve">CUST-011</t>
  </si>
  <si>
    <t xml:space="preserve">Aurora Nelson</t>
  </si>
  <si>
    <t xml:space="preserve">CUST-040</t>
  </si>
  <si>
    <t xml:space="preserve">Owen Brown</t>
  </si>
  <si>
    <t xml:space="preserve">CUST-056</t>
  </si>
  <si>
    <t xml:space="preserve">Scarlett Anderson</t>
  </si>
  <si>
    <t xml:space="preserve">CUST-034</t>
  </si>
  <si>
    <t xml:space="preserve">Caleb Anderson</t>
  </si>
  <si>
    <t xml:space="preserve">CUST-060</t>
  </si>
  <si>
    <t xml:space="preserve">Isabella Adams</t>
  </si>
  <si>
    <t xml:space="preserve">CUST-031</t>
  </si>
  <si>
    <t xml:space="preserve">Benjamin Wilson</t>
  </si>
  <si>
    <t xml:space="preserve">CUST-041</t>
  </si>
  <si>
    <t xml:space="preserve">Willow Clark</t>
  </si>
  <si>
    <t xml:space="preserve">CUST-055</t>
  </si>
  <si>
    <t xml:space="preserve">Gabriel Clark</t>
  </si>
  <si>
    <t xml:space="preserve">CUST-027</t>
  </si>
  <si>
    <t xml:space="preserve">Wyatt Young</t>
  </si>
  <si>
    <t xml:space="preserve">CUST-069</t>
  </si>
  <si>
    <t xml:space="preserve">Owen Taylor</t>
  </si>
  <si>
    <t xml:space="preserve">CUST-044</t>
  </si>
  <si>
    <t xml:space="preserve">Jacob Lewis</t>
  </si>
  <si>
    <t xml:space="preserve">CUST-019</t>
  </si>
  <si>
    <t xml:space="preserve">Oscar Smith</t>
  </si>
  <si>
    <t xml:space="preserve">CUST-067</t>
  </si>
  <si>
    <t xml:space="preserve">Grace Wright</t>
  </si>
  <si>
    <t xml:space="preserve">CUST-053</t>
  </si>
  <si>
    <t xml:space="preserve">Mia Baker</t>
  </si>
  <si>
    <t xml:space="preserve">CUST-021</t>
  </si>
  <si>
    <t xml:space="preserve">Charles Clark</t>
  </si>
  <si>
    <t xml:space="preserve">CUST-010</t>
  </si>
  <si>
    <t xml:space="preserve">Ryan Green</t>
  </si>
  <si>
    <t xml:space="preserve">CUST-029</t>
  </si>
  <si>
    <t xml:space="preserve">Mason King</t>
  </si>
  <si>
    <t xml:space="preserve">CUST-003</t>
  </si>
  <si>
    <t xml:space="preserve">Zoe Johnson</t>
  </si>
  <si>
    <t xml:space="preserve">CUST-049</t>
  </si>
  <si>
    <t xml:space="preserve">Victoria Hall</t>
  </si>
  <si>
    <t xml:space="preserve">CUST-004</t>
  </si>
  <si>
    <t xml:space="preserve">Noah Brown</t>
  </si>
  <si>
    <t xml:space="preserve">CUST-051</t>
  </si>
  <si>
    <t xml:space="preserve">Aurora Anderson</t>
  </si>
  <si>
    <t xml:space="preserve">CUST-022</t>
  </si>
  <si>
    <t xml:space="preserve">Brooklyn Brown</t>
  </si>
  <si>
    <t xml:space="preserve">CUST-037</t>
  </si>
  <si>
    <t xml:space="preserve">Mia Hall</t>
  </si>
  <si>
    <t xml:space="preserve">CUST-058</t>
  </si>
  <si>
    <t xml:space="preserve">Claire Baker</t>
  </si>
  <si>
    <t xml:space="preserve">CUST-028</t>
  </si>
  <si>
    <t xml:space="preserve">Bella Carter</t>
  </si>
  <si>
    <t xml:space="preserve">CUST-048</t>
  </si>
  <si>
    <t xml:space="preserve">Isabella King</t>
  </si>
  <si>
    <t xml:space="preserve">CUST-065</t>
  </si>
  <si>
    <t xml:space="preserve">Penelope Baker</t>
  </si>
  <si>
    <t xml:space="preserve">CUST-016</t>
  </si>
  <si>
    <t xml:space="preserve">Oscar Carter</t>
  </si>
  <si>
    <t xml:space="preserve">CUST-035</t>
  </si>
  <si>
    <t xml:space="preserve">Jacob Taylor</t>
  </si>
  <si>
    <t xml:space="preserve">RFM ANALYSIS — Customer Value Segmentation</t>
  </si>
  <si>
    <t xml:space="preserve">Recency, Frequency &amp; Monetary scoring (1=lowest, 5=highest) ranks every customer against the whole base, then maps them to a segment. Standard technique used by growth/retention teams to decide who to win back, upsell, or leave alone.</t>
  </si>
  <si>
    <t xml:space="preserve">Reference date (Recency measured from):</t>
  </si>
  <si>
    <t xml:space="preserve">Last Order Date</t>
  </si>
  <si>
    <t xml:space="preserve">Recency (days)</t>
  </si>
  <si>
    <t xml:space="preserve">Frequency (orders)</t>
  </si>
  <si>
    <t xml:space="preserve">Monetary ($)</t>
  </si>
  <si>
    <t xml:space="preserve">R Score</t>
  </si>
  <si>
    <t xml:space="preserve">F Score</t>
  </si>
  <si>
    <t xml:space="preserve">M Score</t>
  </si>
  <si>
    <t xml:space="preserve">Segment</t>
  </si>
  <si>
    <t xml:space="preserve">COHORT RETENTION — % of Each Signup Cohort Still Ordering</t>
  </si>
  <si>
    <t xml:space="preserve">Each row is a group of customers by their first-purchase month. Each column is months since that first purchase. Shows how much of a cohort keeps buying over time — the core metric subscription/repeat-purchase businesses track.</t>
  </si>
  <si>
    <t xml:space="preserve">Cohort</t>
  </si>
  <si>
    <t xml:space="preserve">Customers</t>
  </si>
  <si>
    <t xml:space="preserve">Month 0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</si>
  <si>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</si>
  <si>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</si>
  <si>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</si>
  <si>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</si>
  <si>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</si>
  <si>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</si>
  <si>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EXECUTIVE DASHBOARD — Customer Value &amp; Retention</t>
  </si>
  <si>
    <t xml:space="preserve">Auto-calculated from RFM Analysis and Cohort Retention. Everything below updates live if the source transactions change.</t>
  </si>
  <si>
    <t xml:space="preserve">Total Customers</t>
  </si>
  <si>
    <t xml:space="preserve">Total Revenue</t>
  </si>
  <si>
    <t xml:space="preserve">Avg Revenue / Customer</t>
  </si>
  <si>
    <t xml:space="preserve">Champions</t>
  </si>
  <si>
    <t xml:space="preserve">At Risk + Lost</t>
  </si>
  <si>
    <t xml:space="preserve">Customers by Segment</t>
  </si>
  <si>
    <t xml:space="preserve">Avg Retention by Month Since First Order</t>
  </si>
  <si>
    <t xml:space="preserve">Avg Retention</t>
  </si>
  <si>
    <t xml:space="preserve">Loyal Customers</t>
  </si>
  <si>
    <t xml:space="preserve">Potential Loyalist</t>
  </si>
  <si>
    <t xml:space="preserve">Need Attention</t>
  </si>
  <si>
    <t xml:space="preserve">At Risk</t>
  </si>
  <si>
    <t xml:space="preserve">Lost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</si>
</sst>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\$#,##0.00"/>
    <numFmt numFmtId="167" formatCode="mmm\-yyyy"/>
    <numFmt numFmtId="168" formatCode="0%"/>
    <numFmt numFmtId="169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D9E2F3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78787"/>
      <rgbColor rgb="FF9999FF"/>
      <rgbColor rgb="FFC0504D"/>
      <rgbColor rgb="FFFFFFCC"/>
      <rgbColor rgb="FFD9E2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4BACC6"/>
      <rgbColor rgb="FF9BBB59"/>
      <rgbColor rgb="FFFFCC00"/>
      <rgbColor rgb="FFF79646"/>
      <rgbColor rgb="FFFF6600"/>
      <rgbColor rgb="FF8064A2"/>
      <rgbColor rgb="FF969696"/>
      <rgbColor rgb="FF1F3864"/>
      <rgbColor rgb="FF4F81BD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Customers by Segment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'Executive Dashboard'!B9</c:f>
              <c:strCache>
                <c:ptCount val="1"/>
                <c:pt idx="0">
                  <c:v>Customers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'Executive Dashboard'!$A$10:$A$15</c:f>
              <c:strCache>
                <c:ptCount val="6"/>
                <c:pt idx="0">
                  <c:v>Champions</c:v>
                </c:pt>
                <c:pt idx="1">
                  <c:v>Loyal Customers</c:v>
                </c:pt>
                <c:pt idx="2">
                  <c:v>Potential Loyalist</c:v>
                </c:pt>
                <c:pt idx="3">
                  <c:v>Need Attention</c:v>
                </c:pt>
                <c:pt idx="4">
                  <c:v>At Risk</c:v>
                </c:pt>
                <c:pt idx="5">
                  <c:v>Lost</c:v>
                </c:pt>
              </c:strCache>
            </c:strRef>
          </c:cat>
          <c:val>
            <c:numRef>
              <c:f>'Executive Dashboard'!$B$10:$B$15</c:f>
              <c:numCache>
                <c:formatCode>General</c:formatCode>
                <c:ptCount val="6"/>
                <c:pt idx="0">
                  <c:v>20</c:v>
                </c:pt>
                <c:pt idx="1">
                  <c:v>4</c:v>
                </c:pt>
                <c:pt idx="2">
                  <c:v>8</c:v>
                </c:pt>
                <c:pt idx="3">
                  <c:v>10</c:v>
                </c:pt>
                <c:pt idx="4">
                  <c:v>18</c:v>
                </c:pt>
                <c:pt idx="5">
                  <c:v>10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Retention Curve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'Executive Dashboard'!E9</c:f>
              <c:strCache>
                <c:ptCount val="1"/>
                <c:pt idx="0">
                  <c:v>Avg Retention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'Executive Dashboard'!$D$10:$D$16</c:f>
              <c:strCach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strCache>
            </c:strRef>
          </c:cat>
          <c:val>
            <c:numRef>
              <c:f>'Executive Dashboard'!$E$10:$E$16</c:f>
              <c:numCache>
                <c:formatCode>0%</c:formatCode>
                <c:ptCount val="7"/>
                <c:pt idx="0">
                  <c:v>1</c:v>
                </c:pt>
                <c:pt idx="1">
                  <c:v>0.530055708180708</c:v>
                </c:pt>
                <c:pt idx="2">
                  <c:v>0.353037240537241</c:v>
                </c:pt>
                <c:pt idx="3">
                  <c:v>0.257161935286935</c:v>
                </c:pt>
                <c:pt idx="4">
                  <c:v>0.215495268620269</c:v>
                </c:pt>
                <c:pt idx="5">
                  <c:v>0.166884157509158</c:v>
                </c:pt>
                <c:pt idx="6">
                  <c:v>0.133402014652015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1080438"/>
        <c:axId val="35791047"/>
      </c:lineChart>
      <c:catAx>
        <c:axId val="7108043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Months Since First Order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791047"/>
        <c:crosses val="autoZero"/>
        <c:auto val="1"/>
        <c:lblAlgn val="ctr"/>
        <c:lblOffset val="100"/>
        <c:noMultiLvlLbl val="0"/>
      </c:catAx>
      <c:valAx>
        <c:axId val="357910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Avg % of Cohort Active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0804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15</xdr:row>
      <xdr:rowOff>116280</xdr:rowOff>
    </xdr:from>
    <xdr:to>
      <xdr:col>1</xdr:col>
      <xdr:colOff>2064240</xdr:colOff>
      <xdr:row>29</xdr:row>
      <xdr:rowOff>149040</xdr:rowOff>
    </xdr:to>
    <xdr:graphicFrame>
      <xdr:nvGraphicFramePr>
        <xdr:cNvPr id="0" name="Chart 1"/>
        <xdr:cNvGraphicFramePr/>
      </xdr:nvGraphicFramePr>
      <xdr:xfrm>
        <a:off x="0" y="304812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16</xdr:row>
      <xdr:rowOff>116280</xdr:rowOff>
    </xdr:from>
    <xdr:to>
      <xdr:col>6</xdr:col>
      <xdr:colOff>231480</xdr:colOff>
      <xdr:row>30</xdr:row>
      <xdr:rowOff>149040</xdr:rowOff>
    </xdr:to>
    <xdr:graphicFrame>
      <xdr:nvGraphicFramePr>
        <xdr:cNvPr id="1" name="Chart 2"/>
        <xdr:cNvGraphicFramePr/>
      </xdr:nvGraphicFramePr>
      <xdr:xfrm>
        <a:off x="6766560" y="323856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3"/>
    <col collapsed="false" customWidth="true" hidden="false" outlineLevel="0" max="3" min="3" style="0" width="19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8" min="7" style="0" width="3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n">
        <v>5107</v>
      </c>
      <c r="B5" s="4" t="s">
        <v>10</v>
      </c>
      <c r="C5" s="4" t="s">
        <v>11</v>
      </c>
      <c r="D5" s="4" t="s">
        <v>12</v>
      </c>
      <c r="E5" s="5" t="n">
        <v>45292</v>
      </c>
      <c r="F5" s="6" t="n">
        <v>29.99</v>
      </c>
      <c r="G5" s="7" t="n">
        <f aca="false">DATE(YEAR(_xlfn.MINIFS($E$5:$E$281,$B$5:$B$281,B5)),MONTH(_xlfn.MINIFS($E$5:$E$281,$B$5:$B$281,B5)),1)</f>
        <v>45292</v>
      </c>
      <c r="H5" s="4" t="n">
        <f aca="false">(YEAR(E5)-YEAR(G5))*12+(MONTH(E5)-MONTH(G5))</f>
        <v>0</v>
      </c>
    </row>
    <row r="6" customFormat="false" ht="15" hidden="false" customHeight="false" outlineLevel="0" collapsed="false">
      <c r="A6" s="4" t="n">
        <v>5238</v>
      </c>
      <c r="B6" s="4" t="s">
        <v>13</v>
      </c>
      <c r="C6" s="4" t="s">
        <v>14</v>
      </c>
      <c r="D6" s="4" t="s">
        <v>15</v>
      </c>
      <c r="E6" s="5" t="n">
        <v>45293</v>
      </c>
      <c r="F6" s="6" t="n">
        <v>60.44</v>
      </c>
      <c r="G6" s="7" t="n">
        <f aca="false">DATE(YEAR(_xlfn.MINIFS($E$5:$E$281,$B$5:$B$281,B6)),MONTH(_xlfn.MINIFS($E$5:$E$281,$B$5:$B$281,B6)),1)</f>
        <v>45292</v>
      </c>
      <c r="H6" s="4" t="n">
        <f aca="false">(YEAR(E6)-YEAR(G6))*12+(MONTH(E6)-MONTH(G6))</f>
        <v>0</v>
      </c>
    </row>
    <row r="7" customFormat="false" ht="15" hidden="false" customHeight="false" outlineLevel="0" collapsed="false">
      <c r="A7" s="4" t="n">
        <v>5143</v>
      </c>
      <c r="B7" s="4" t="s">
        <v>16</v>
      </c>
      <c r="C7" s="4" t="s">
        <v>17</v>
      </c>
      <c r="D7" s="4" t="s">
        <v>18</v>
      </c>
      <c r="E7" s="5" t="n">
        <v>45293</v>
      </c>
      <c r="F7" s="6" t="n">
        <v>110.13</v>
      </c>
      <c r="G7" s="7" t="n">
        <f aca="false">DATE(YEAR(_xlfn.MINIFS($E$5:$E$281,$B$5:$B$281,B7)),MONTH(_xlfn.MINIFS($E$5:$E$281,$B$5:$B$281,B7)),1)</f>
        <v>45292</v>
      </c>
      <c r="H7" s="4" t="n">
        <f aca="false">(YEAR(E7)-YEAR(G7))*12+(MONTH(E7)-MONTH(G7))</f>
        <v>0</v>
      </c>
    </row>
    <row r="8" customFormat="false" ht="15" hidden="false" customHeight="false" outlineLevel="0" collapsed="false">
      <c r="A8" s="4" t="n">
        <v>5014</v>
      </c>
      <c r="B8" s="4" t="s">
        <v>19</v>
      </c>
      <c r="C8" s="4" t="s">
        <v>20</v>
      </c>
      <c r="D8" s="4" t="s">
        <v>21</v>
      </c>
      <c r="E8" s="5" t="n">
        <v>45294</v>
      </c>
      <c r="F8" s="6" t="n">
        <v>179.33</v>
      </c>
      <c r="G8" s="7" t="n">
        <f aca="false">DATE(YEAR(_xlfn.MINIFS($E$5:$E$281,$B$5:$B$281,B8)),MONTH(_xlfn.MINIFS($E$5:$E$281,$B$5:$B$281,B8)),1)</f>
        <v>45292</v>
      </c>
      <c r="H8" s="4" t="n">
        <f aca="false">(YEAR(E8)-YEAR(G8))*12+(MONTH(E8)-MONTH(G8))</f>
        <v>0</v>
      </c>
    </row>
    <row r="9" customFormat="false" ht="15" hidden="false" customHeight="false" outlineLevel="0" collapsed="false">
      <c r="A9" s="4" t="n">
        <v>5162</v>
      </c>
      <c r="B9" s="4" t="s">
        <v>22</v>
      </c>
      <c r="C9" s="4" t="s">
        <v>23</v>
      </c>
      <c r="D9" s="4" t="s">
        <v>24</v>
      </c>
      <c r="E9" s="5" t="n">
        <v>45296</v>
      </c>
      <c r="F9" s="6" t="n">
        <v>100.45</v>
      </c>
      <c r="G9" s="7" t="n">
        <f aca="false">DATE(YEAR(_xlfn.MINIFS($E$5:$E$281,$B$5:$B$281,B9)),MONTH(_xlfn.MINIFS($E$5:$E$281,$B$5:$B$281,B9)),1)</f>
        <v>45292</v>
      </c>
      <c r="H9" s="4" t="n">
        <f aca="false">(YEAR(E9)-YEAR(G9))*12+(MONTH(E9)-MONTH(G9))</f>
        <v>0</v>
      </c>
    </row>
    <row r="10" customFormat="false" ht="15" hidden="false" customHeight="false" outlineLevel="0" collapsed="false">
      <c r="A10" s="4" t="n">
        <v>5019</v>
      </c>
      <c r="B10" s="4" t="s">
        <v>25</v>
      </c>
      <c r="C10" s="4" t="s">
        <v>26</v>
      </c>
      <c r="D10" s="4" t="s">
        <v>18</v>
      </c>
      <c r="E10" s="5" t="n">
        <v>45297</v>
      </c>
      <c r="F10" s="6" t="n">
        <v>68.69</v>
      </c>
      <c r="G10" s="7" t="n">
        <f aca="false">DATE(YEAR(_xlfn.MINIFS($E$5:$E$281,$B$5:$B$281,B10)),MONTH(_xlfn.MINIFS($E$5:$E$281,$B$5:$B$281,B10)),1)</f>
        <v>45292</v>
      </c>
      <c r="H10" s="4" t="n">
        <f aca="false">(YEAR(E10)-YEAR(G10))*12+(MONTH(E10)-MONTH(G10))</f>
        <v>0</v>
      </c>
    </row>
    <row r="11" customFormat="false" ht="15" hidden="false" customHeight="false" outlineLevel="0" collapsed="false">
      <c r="A11" s="4" t="n">
        <v>5101</v>
      </c>
      <c r="B11" s="4" t="s">
        <v>27</v>
      </c>
      <c r="C11" s="4" t="s">
        <v>28</v>
      </c>
      <c r="D11" s="4" t="s">
        <v>18</v>
      </c>
      <c r="E11" s="5" t="n">
        <v>45303</v>
      </c>
      <c r="F11" s="6" t="n">
        <v>40.8</v>
      </c>
      <c r="G11" s="7" t="n">
        <f aca="false">DATE(YEAR(_xlfn.MINIFS($E$5:$E$281,$B$5:$B$281,B11)),MONTH(_xlfn.MINIFS($E$5:$E$281,$B$5:$B$281,B11)),1)</f>
        <v>45292</v>
      </c>
      <c r="H11" s="4" t="n">
        <f aca="false">(YEAR(E11)-YEAR(G11))*12+(MONTH(E11)-MONTH(G11))</f>
        <v>0</v>
      </c>
    </row>
    <row r="12" customFormat="false" ht="15" hidden="false" customHeight="false" outlineLevel="0" collapsed="false">
      <c r="A12" s="4" t="n">
        <v>5003</v>
      </c>
      <c r="B12" s="4" t="s">
        <v>29</v>
      </c>
      <c r="C12" s="4" t="s">
        <v>30</v>
      </c>
      <c r="D12" s="4" t="s">
        <v>15</v>
      </c>
      <c r="E12" s="5" t="n">
        <v>45308</v>
      </c>
      <c r="F12" s="6" t="n">
        <v>97.78</v>
      </c>
      <c r="G12" s="7" t="n">
        <f aca="false">DATE(YEAR(_xlfn.MINIFS($E$5:$E$281,$B$5:$B$281,B12)),MONTH(_xlfn.MINIFS($E$5:$E$281,$B$5:$B$281,B12)),1)</f>
        <v>45292</v>
      </c>
      <c r="H12" s="4" t="n">
        <f aca="false">(YEAR(E12)-YEAR(G12))*12+(MONTH(E12)-MONTH(G12))</f>
        <v>0</v>
      </c>
    </row>
    <row r="13" customFormat="false" ht="15" hidden="false" customHeight="false" outlineLevel="0" collapsed="false">
      <c r="A13" s="4" t="n">
        <v>5002</v>
      </c>
      <c r="B13" s="4" t="s">
        <v>29</v>
      </c>
      <c r="C13" s="4" t="s">
        <v>30</v>
      </c>
      <c r="D13" s="4" t="s">
        <v>15</v>
      </c>
      <c r="E13" s="5" t="n">
        <v>45314</v>
      </c>
      <c r="F13" s="6" t="n">
        <v>103.46</v>
      </c>
      <c r="G13" s="7" t="n">
        <f aca="false">DATE(YEAR(_xlfn.MINIFS($E$5:$E$281,$B$5:$B$281,B13)),MONTH(_xlfn.MINIFS($E$5:$E$281,$B$5:$B$281,B13)),1)</f>
        <v>45292</v>
      </c>
      <c r="H13" s="4" t="n">
        <f aca="false">(YEAR(E13)-YEAR(G13))*12+(MONTH(E13)-MONTH(G13))</f>
        <v>0</v>
      </c>
    </row>
    <row r="14" customFormat="false" ht="15" hidden="false" customHeight="false" outlineLevel="0" collapsed="false">
      <c r="A14" s="4" t="n">
        <v>5237</v>
      </c>
      <c r="B14" s="4" t="s">
        <v>13</v>
      </c>
      <c r="C14" s="4" t="s">
        <v>14</v>
      </c>
      <c r="D14" s="4" t="s">
        <v>15</v>
      </c>
      <c r="E14" s="5" t="n">
        <v>45315</v>
      </c>
      <c r="F14" s="6" t="n">
        <v>15.37</v>
      </c>
      <c r="G14" s="7" t="n">
        <f aca="false">DATE(YEAR(_xlfn.MINIFS($E$5:$E$281,$B$5:$B$281,B14)),MONTH(_xlfn.MINIFS($E$5:$E$281,$B$5:$B$281,B14)),1)</f>
        <v>45292</v>
      </c>
      <c r="H14" s="4" t="n">
        <f aca="false">(YEAR(E14)-YEAR(G14))*12+(MONTH(E14)-MONTH(G14))</f>
        <v>0</v>
      </c>
    </row>
    <row r="15" customFormat="false" ht="15" hidden="false" customHeight="false" outlineLevel="0" collapsed="false">
      <c r="A15" s="4" t="n">
        <v>5001</v>
      </c>
      <c r="B15" s="4" t="s">
        <v>29</v>
      </c>
      <c r="C15" s="4" t="s">
        <v>30</v>
      </c>
      <c r="D15" s="4" t="s">
        <v>15</v>
      </c>
      <c r="E15" s="5" t="n">
        <v>45318</v>
      </c>
      <c r="F15" s="6" t="n">
        <v>60.86</v>
      </c>
      <c r="G15" s="7" t="n">
        <f aca="false">DATE(YEAR(_xlfn.MINIFS($E$5:$E$281,$B$5:$B$281,B15)),MONTH(_xlfn.MINIFS($E$5:$E$281,$B$5:$B$281,B15)),1)</f>
        <v>45292</v>
      </c>
      <c r="H15" s="4" t="n">
        <f aca="false">(YEAR(E15)-YEAR(G15))*12+(MONTH(E15)-MONTH(G15))</f>
        <v>0</v>
      </c>
    </row>
    <row r="16" customFormat="false" ht="15" hidden="false" customHeight="false" outlineLevel="0" collapsed="false">
      <c r="A16" s="4" t="n">
        <v>5010</v>
      </c>
      <c r="B16" s="4" t="s">
        <v>31</v>
      </c>
      <c r="C16" s="4" t="s">
        <v>32</v>
      </c>
      <c r="D16" s="4" t="s">
        <v>12</v>
      </c>
      <c r="E16" s="5" t="n">
        <v>45318</v>
      </c>
      <c r="F16" s="6" t="n">
        <v>101.56</v>
      </c>
      <c r="G16" s="7" t="n">
        <f aca="false">DATE(YEAR(_xlfn.MINIFS($E$5:$E$281,$B$5:$B$281,B16)),MONTH(_xlfn.MINIFS($E$5:$E$281,$B$5:$B$281,B16)),1)</f>
        <v>45292</v>
      </c>
      <c r="H16" s="4" t="n">
        <f aca="false">(YEAR(E16)-YEAR(G16))*12+(MONTH(E16)-MONTH(G16))</f>
        <v>0</v>
      </c>
    </row>
    <row r="17" customFormat="false" ht="15" hidden="false" customHeight="false" outlineLevel="0" collapsed="false">
      <c r="A17" s="4" t="n">
        <v>5011</v>
      </c>
      <c r="B17" s="4" t="s">
        <v>31</v>
      </c>
      <c r="C17" s="4" t="s">
        <v>32</v>
      </c>
      <c r="D17" s="4" t="s">
        <v>12</v>
      </c>
      <c r="E17" s="5" t="n">
        <v>45321</v>
      </c>
      <c r="F17" s="6" t="n">
        <v>153.57</v>
      </c>
      <c r="G17" s="7" t="n">
        <f aca="false">DATE(YEAR(_xlfn.MINIFS($E$5:$E$281,$B$5:$B$281,B17)),MONTH(_xlfn.MINIFS($E$5:$E$281,$B$5:$B$281,B17)),1)</f>
        <v>45292</v>
      </c>
      <c r="H17" s="4" t="n">
        <f aca="false">(YEAR(E17)-YEAR(G17))*12+(MONTH(E17)-MONTH(G17))</f>
        <v>0</v>
      </c>
    </row>
    <row r="18" customFormat="false" ht="15" hidden="false" customHeight="false" outlineLevel="0" collapsed="false">
      <c r="A18" s="4" t="n">
        <v>5018</v>
      </c>
      <c r="B18" s="4" t="s">
        <v>25</v>
      </c>
      <c r="C18" s="4" t="s">
        <v>26</v>
      </c>
      <c r="D18" s="4" t="s">
        <v>18</v>
      </c>
      <c r="E18" s="5" t="n">
        <v>45322</v>
      </c>
      <c r="F18" s="6" t="n">
        <v>37.44</v>
      </c>
      <c r="G18" s="7" t="n">
        <f aca="false">DATE(YEAR(_xlfn.MINIFS($E$5:$E$281,$B$5:$B$281,B18)),MONTH(_xlfn.MINIFS($E$5:$E$281,$B$5:$B$281,B18)),1)</f>
        <v>45292</v>
      </c>
      <c r="H18" s="4" t="n">
        <f aca="false">(YEAR(E18)-YEAR(G18))*12+(MONTH(E18)-MONTH(G18))</f>
        <v>0</v>
      </c>
    </row>
    <row r="19" customFormat="false" ht="15" hidden="false" customHeight="false" outlineLevel="0" collapsed="false">
      <c r="A19" s="4" t="n">
        <v>5130</v>
      </c>
      <c r="B19" s="4" t="s">
        <v>33</v>
      </c>
      <c r="C19" s="4" t="s">
        <v>34</v>
      </c>
      <c r="D19" s="4" t="s">
        <v>24</v>
      </c>
      <c r="E19" s="5" t="n">
        <v>45323</v>
      </c>
      <c r="F19" s="6" t="n">
        <v>214.69</v>
      </c>
      <c r="G19" s="7" t="n">
        <f aca="false">DATE(YEAR(_xlfn.MINIFS($E$5:$E$281,$B$5:$B$281,B19)),MONTH(_xlfn.MINIFS($E$5:$E$281,$B$5:$B$281,B19)),1)</f>
        <v>45323</v>
      </c>
      <c r="H19" s="4" t="n">
        <f aca="false">(YEAR(E19)-YEAR(G19))*12+(MONTH(E19)-MONTH(G19))</f>
        <v>0</v>
      </c>
    </row>
    <row r="20" customFormat="false" ht="15" hidden="false" customHeight="false" outlineLevel="0" collapsed="false">
      <c r="A20" s="4" t="n">
        <v>5171</v>
      </c>
      <c r="B20" s="4" t="s">
        <v>35</v>
      </c>
      <c r="C20" s="4" t="s">
        <v>36</v>
      </c>
      <c r="D20" s="4" t="s">
        <v>12</v>
      </c>
      <c r="E20" s="5" t="n">
        <v>45324</v>
      </c>
      <c r="F20" s="6" t="n">
        <v>194.76</v>
      </c>
      <c r="G20" s="7" t="n">
        <f aca="false">DATE(YEAR(_xlfn.MINIFS($E$5:$E$281,$B$5:$B$281,B20)),MONTH(_xlfn.MINIFS($E$5:$E$281,$B$5:$B$281,B20)),1)</f>
        <v>45323</v>
      </c>
      <c r="H20" s="4" t="n">
        <f aca="false">(YEAR(E20)-YEAR(G20))*12+(MONTH(E20)-MONTH(G20))</f>
        <v>0</v>
      </c>
    </row>
    <row r="21" customFormat="false" ht="15" hidden="false" customHeight="false" outlineLevel="0" collapsed="false">
      <c r="A21" s="4" t="n">
        <v>5015</v>
      </c>
      <c r="B21" s="4" t="s">
        <v>19</v>
      </c>
      <c r="C21" s="4" t="s">
        <v>20</v>
      </c>
      <c r="D21" s="4" t="s">
        <v>21</v>
      </c>
      <c r="E21" s="5" t="n">
        <v>45325</v>
      </c>
      <c r="F21" s="6" t="n">
        <v>69.21</v>
      </c>
      <c r="G21" s="7" t="n">
        <f aca="false">DATE(YEAR(_xlfn.MINIFS($E$5:$E$281,$B$5:$B$281,B21)),MONTH(_xlfn.MINIFS($E$5:$E$281,$B$5:$B$281,B21)),1)</f>
        <v>45292</v>
      </c>
      <c r="H21" s="4" t="n">
        <f aca="false">(YEAR(E21)-YEAR(G21))*12+(MONTH(E21)-MONTH(G21))</f>
        <v>1</v>
      </c>
    </row>
    <row r="22" customFormat="false" ht="15" hidden="false" customHeight="false" outlineLevel="0" collapsed="false">
      <c r="A22" s="4" t="n">
        <v>5004</v>
      </c>
      <c r="B22" s="4" t="s">
        <v>29</v>
      </c>
      <c r="C22" s="4" t="s">
        <v>30</v>
      </c>
      <c r="D22" s="4" t="s">
        <v>15</v>
      </c>
      <c r="E22" s="5" t="n">
        <v>45325</v>
      </c>
      <c r="F22" s="6" t="n">
        <v>163.04</v>
      </c>
      <c r="G22" s="7" t="n">
        <f aca="false">DATE(YEAR(_xlfn.MINIFS($E$5:$E$281,$B$5:$B$281,B22)),MONTH(_xlfn.MINIFS($E$5:$E$281,$B$5:$B$281,B22)),1)</f>
        <v>45292</v>
      </c>
      <c r="H22" s="4" t="n">
        <f aca="false">(YEAR(E22)-YEAR(G22))*12+(MONTH(E22)-MONTH(G22))</f>
        <v>1</v>
      </c>
    </row>
    <row r="23" customFormat="false" ht="15" hidden="false" customHeight="false" outlineLevel="0" collapsed="false">
      <c r="A23" s="4" t="n">
        <v>5016</v>
      </c>
      <c r="B23" s="4" t="s">
        <v>19</v>
      </c>
      <c r="C23" s="4" t="s">
        <v>20</v>
      </c>
      <c r="D23" s="4" t="s">
        <v>21</v>
      </c>
      <c r="E23" s="5" t="n">
        <v>45326</v>
      </c>
      <c r="F23" s="6" t="n">
        <v>108.02</v>
      </c>
      <c r="G23" s="7" t="n">
        <f aca="false">DATE(YEAR(_xlfn.MINIFS($E$5:$E$281,$B$5:$B$281,B23)),MONTH(_xlfn.MINIFS($E$5:$E$281,$B$5:$B$281,B23)),1)</f>
        <v>45292</v>
      </c>
      <c r="H23" s="4" t="n">
        <f aca="false">(YEAR(E23)-YEAR(G23))*12+(MONTH(E23)-MONTH(G23))</f>
        <v>1</v>
      </c>
    </row>
    <row r="24" customFormat="false" ht="15" hidden="false" customHeight="false" outlineLevel="0" collapsed="false">
      <c r="A24" s="4" t="n">
        <v>5276</v>
      </c>
      <c r="B24" s="4" t="s">
        <v>37</v>
      </c>
      <c r="C24" s="4" t="s">
        <v>38</v>
      </c>
      <c r="D24" s="4" t="s">
        <v>18</v>
      </c>
      <c r="E24" s="5" t="n">
        <v>45328</v>
      </c>
      <c r="F24" s="6" t="n">
        <v>85.7</v>
      </c>
      <c r="G24" s="7" t="n">
        <f aca="false">DATE(YEAR(_xlfn.MINIFS($E$5:$E$281,$B$5:$B$281,B24)),MONTH(_xlfn.MINIFS($E$5:$E$281,$B$5:$B$281,B24)),1)</f>
        <v>45323</v>
      </c>
      <c r="H24" s="4" t="n">
        <f aca="false">(YEAR(E24)-YEAR(G24))*12+(MONTH(E24)-MONTH(G24))</f>
        <v>0</v>
      </c>
    </row>
    <row r="25" customFormat="false" ht="15" hidden="false" customHeight="false" outlineLevel="0" collapsed="false">
      <c r="A25" s="4" t="n">
        <v>5173</v>
      </c>
      <c r="B25" s="4" t="s">
        <v>35</v>
      </c>
      <c r="C25" s="4" t="s">
        <v>36</v>
      </c>
      <c r="D25" s="4" t="s">
        <v>12</v>
      </c>
      <c r="E25" s="5" t="n">
        <v>45329</v>
      </c>
      <c r="F25" s="6" t="n">
        <v>138.1</v>
      </c>
      <c r="G25" s="7" t="n">
        <f aca="false">DATE(YEAR(_xlfn.MINIFS($E$5:$E$281,$B$5:$B$281,B25)),MONTH(_xlfn.MINIFS($E$5:$E$281,$B$5:$B$281,B25)),1)</f>
        <v>45323</v>
      </c>
      <c r="H25" s="4" t="n">
        <f aca="false">(YEAR(E25)-YEAR(G25))*12+(MONTH(E25)-MONTH(G25))</f>
        <v>0</v>
      </c>
    </row>
    <row r="26" customFormat="false" ht="15" hidden="false" customHeight="false" outlineLevel="0" collapsed="false">
      <c r="A26" s="4" t="n">
        <v>5172</v>
      </c>
      <c r="B26" s="4" t="s">
        <v>35</v>
      </c>
      <c r="C26" s="4" t="s">
        <v>36</v>
      </c>
      <c r="D26" s="4" t="s">
        <v>12</v>
      </c>
      <c r="E26" s="5" t="n">
        <v>45330</v>
      </c>
      <c r="F26" s="6" t="n">
        <v>39.44</v>
      </c>
      <c r="G26" s="7" t="n">
        <f aca="false">DATE(YEAR(_xlfn.MINIFS($E$5:$E$281,$B$5:$B$281,B26)),MONTH(_xlfn.MINIFS($E$5:$E$281,$B$5:$B$281,B26)),1)</f>
        <v>45323</v>
      </c>
      <c r="H26" s="4" t="n">
        <f aca="false">(YEAR(E26)-YEAR(G26))*12+(MONTH(E26)-MONTH(G26))</f>
        <v>0</v>
      </c>
    </row>
    <row r="27" customFormat="false" ht="15" hidden="false" customHeight="false" outlineLevel="0" collapsed="false">
      <c r="A27" s="4" t="n">
        <v>5029</v>
      </c>
      <c r="B27" s="4" t="s">
        <v>39</v>
      </c>
      <c r="C27" s="4" t="s">
        <v>40</v>
      </c>
      <c r="D27" s="4" t="s">
        <v>18</v>
      </c>
      <c r="E27" s="5" t="n">
        <v>45335</v>
      </c>
      <c r="F27" s="6" t="n">
        <v>217.83</v>
      </c>
      <c r="G27" s="7" t="n">
        <f aca="false">DATE(YEAR(_xlfn.MINIFS($E$5:$E$281,$B$5:$B$281,B27)),MONTH(_xlfn.MINIFS($E$5:$E$281,$B$5:$B$281,B27)),1)</f>
        <v>45323</v>
      </c>
      <c r="H27" s="4" t="n">
        <f aca="false">(YEAR(E27)-YEAR(G27))*12+(MONTH(E27)-MONTH(G27))</f>
        <v>0</v>
      </c>
    </row>
    <row r="28" customFormat="false" ht="15" hidden="false" customHeight="false" outlineLevel="0" collapsed="false">
      <c r="A28" s="4" t="n">
        <v>5123</v>
      </c>
      <c r="B28" s="4" t="s">
        <v>41</v>
      </c>
      <c r="C28" s="4" t="s">
        <v>42</v>
      </c>
      <c r="D28" s="4" t="s">
        <v>18</v>
      </c>
      <c r="E28" s="5" t="n">
        <v>45336</v>
      </c>
      <c r="F28" s="6" t="n">
        <v>204.66</v>
      </c>
      <c r="G28" s="7" t="n">
        <f aca="false">DATE(YEAR(_xlfn.MINIFS($E$5:$E$281,$B$5:$B$281,B28)),MONTH(_xlfn.MINIFS($E$5:$E$281,$B$5:$B$281,B28)),1)</f>
        <v>45323</v>
      </c>
      <c r="H28" s="4" t="n">
        <f aca="false">(YEAR(E28)-YEAR(G28))*12+(MONTH(E28)-MONTH(G28))</f>
        <v>0</v>
      </c>
    </row>
    <row r="29" customFormat="false" ht="15" hidden="false" customHeight="false" outlineLevel="0" collapsed="false">
      <c r="A29" s="4" t="n">
        <v>5022</v>
      </c>
      <c r="B29" s="4" t="s">
        <v>25</v>
      </c>
      <c r="C29" s="4" t="s">
        <v>26</v>
      </c>
      <c r="D29" s="4" t="s">
        <v>18</v>
      </c>
      <c r="E29" s="5" t="n">
        <v>45337</v>
      </c>
      <c r="F29" s="6" t="n">
        <v>117.52</v>
      </c>
      <c r="G29" s="7" t="n">
        <f aca="false">DATE(YEAR(_xlfn.MINIFS($E$5:$E$281,$B$5:$B$281,B29)),MONTH(_xlfn.MINIFS($E$5:$E$281,$B$5:$B$281,B29)),1)</f>
        <v>45292</v>
      </c>
      <c r="H29" s="4" t="n">
        <f aca="false">(YEAR(E29)-YEAR(G29))*12+(MONTH(E29)-MONTH(G29))</f>
        <v>1</v>
      </c>
    </row>
    <row r="30" customFormat="false" ht="15" hidden="false" customHeight="false" outlineLevel="0" collapsed="false">
      <c r="A30" s="4" t="n">
        <v>5054</v>
      </c>
      <c r="B30" s="4" t="s">
        <v>43</v>
      </c>
      <c r="C30" s="4" t="s">
        <v>44</v>
      </c>
      <c r="D30" s="4" t="s">
        <v>15</v>
      </c>
      <c r="E30" s="5" t="n">
        <v>45339</v>
      </c>
      <c r="F30" s="6" t="n">
        <v>28.54</v>
      </c>
      <c r="G30" s="7" t="n">
        <f aca="false">DATE(YEAR(_xlfn.MINIFS($E$5:$E$281,$B$5:$B$281,B30)),MONTH(_xlfn.MINIFS($E$5:$E$281,$B$5:$B$281,B30)),1)</f>
        <v>45323</v>
      </c>
      <c r="H30" s="4" t="n">
        <f aca="false">(YEAR(E30)-YEAR(G30))*12+(MONTH(E30)-MONTH(G30))</f>
        <v>0</v>
      </c>
    </row>
    <row r="31" customFormat="false" ht="15" hidden="false" customHeight="false" outlineLevel="0" collapsed="false">
      <c r="A31" s="4" t="n">
        <v>5030</v>
      </c>
      <c r="B31" s="4" t="s">
        <v>45</v>
      </c>
      <c r="C31" s="4" t="s">
        <v>46</v>
      </c>
      <c r="D31" s="4" t="s">
        <v>24</v>
      </c>
      <c r="E31" s="5" t="n">
        <v>45343</v>
      </c>
      <c r="F31" s="6" t="n">
        <v>166.88</v>
      </c>
      <c r="G31" s="7" t="n">
        <f aca="false">DATE(YEAR(_xlfn.MINIFS($E$5:$E$281,$B$5:$B$281,B31)),MONTH(_xlfn.MINIFS($E$5:$E$281,$B$5:$B$281,B31)),1)</f>
        <v>45323</v>
      </c>
      <c r="H31" s="4" t="n">
        <f aca="false">(YEAR(E31)-YEAR(G31))*12+(MONTH(E31)-MONTH(G31))</f>
        <v>0</v>
      </c>
    </row>
    <row r="32" customFormat="false" ht="15" hidden="false" customHeight="false" outlineLevel="0" collapsed="false">
      <c r="A32" s="4" t="n">
        <v>5020</v>
      </c>
      <c r="B32" s="4" t="s">
        <v>25</v>
      </c>
      <c r="C32" s="4" t="s">
        <v>26</v>
      </c>
      <c r="D32" s="4" t="s">
        <v>18</v>
      </c>
      <c r="E32" s="5" t="n">
        <v>45343</v>
      </c>
      <c r="F32" s="6" t="n">
        <v>77.53</v>
      </c>
      <c r="G32" s="7" t="n">
        <f aca="false">DATE(YEAR(_xlfn.MINIFS($E$5:$E$281,$B$5:$B$281,B32)),MONTH(_xlfn.MINIFS($E$5:$E$281,$B$5:$B$281,B32)),1)</f>
        <v>45292</v>
      </c>
      <c r="H32" s="4" t="n">
        <f aca="false">(YEAR(E32)-YEAR(G32))*12+(MONTH(E32)-MONTH(G32))</f>
        <v>1</v>
      </c>
    </row>
    <row r="33" customFormat="false" ht="15" hidden="false" customHeight="false" outlineLevel="0" collapsed="false">
      <c r="A33" s="4" t="n">
        <v>5253</v>
      </c>
      <c r="B33" s="4" t="s">
        <v>47</v>
      </c>
      <c r="C33" s="4" t="s">
        <v>48</v>
      </c>
      <c r="D33" s="4" t="s">
        <v>15</v>
      </c>
      <c r="E33" s="5" t="n">
        <v>45344</v>
      </c>
      <c r="F33" s="6" t="n">
        <v>207.89</v>
      </c>
      <c r="G33" s="7" t="n">
        <f aca="false">DATE(YEAR(_xlfn.MINIFS($E$5:$E$281,$B$5:$B$281,B33)),MONTH(_xlfn.MINIFS($E$5:$E$281,$B$5:$B$281,B33)),1)</f>
        <v>45323</v>
      </c>
      <c r="H33" s="4" t="n">
        <f aca="false">(YEAR(E33)-YEAR(G33))*12+(MONTH(E33)-MONTH(G33))</f>
        <v>0</v>
      </c>
    </row>
    <row r="34" customFormat="false" ht="15" hidden="false" customHeight="false" outlineLevel="0" collapsed="false">
      <c r="A34" s="4" t="n">
        <v>5046</v>
      </c>
      <c r="B34" s="4" t="s">
        <v>49</v>
      </c>
      <c r="C34" s="4" t="s">
        <v>50</v>
      </c>
      <c r="D34" s="4" t="s">
        <v>12</v>
      </c>
      <c r="E34" s="5" t="n">
        <v>45345</v>
      </c>
      <c r="F34" s="6" t="n">
        <v>181.5</v>
      </c>
      <c r="G34" s="7" t="n">
        <f aca="false">DATE(YEAR(_xlfn.MINIFS($E$5:$E$281,$B$5:$B$281,B34)),MONTH(_xlfn.MINIFS($E$5:$E$281,$B$5:$B$281,B34)),1)</f>
        <v>45323</v>
      </c>
      <c r="H34" s="4" t="n">
        <f aca="false">(YEAR(E34)-YEAR(G34))*12+(MONTH(E34)-MONTH(G34))</f>
        <v>0</v>
      </c>
    </row>
    <row r="35" customFormat="false" ht="15" hidden="false" customHeight="false" outlineLevel="0" collapsed="false">
      <c r="A35" s="4" t="n">
        <v>5021</v>
      </c>
      <c r="B35" s="4" t="s">
        <v>25</v>
      </c>
      <c r="C35" s="4" t="s">
        <v>26</v>
      </c>
      <c r="D35" s="4" t="s">
        <v>18</v>
      </c>
      <c r="E35" s="5" t="n">
        <v>45347</v>
      </c>
      <c r="F35" s="6" t="n">
        <v>57.2</v>
      </c>
      <c r="G35" s="7" t="n">
        <f aca="false">DATE(YEAR(_xlfn.MINIFS($E$5:$E$281,$B$5:$B$281,B35)),MONTH(_xlfn.MINIFS($E$5:$E$281,$B$5:$B$281,B35)),1)</f>
        <v>45292</v>
      </c>
      <c r="H35" s="4" t="n">
        <f aca="false">(YEAR(E35)-YEAR(G35))*12+(MONTH(E35)-MONTH(G35))</f>
        <v>1</v>
      </c>
    </row>
    <row r="36" customFormat="false" ht="15" hidden="false" customHeight="false" outlineLevel="0" collapsed="false">
      <c r="A36" s="4" t="n">
        <v>5230</v>
      </c>
      <c r="B36" s="4" t="s">
        <v>51</v>
      </c>
      <c r="C36" s="4" t="s">
        <v>52</v>
      </c>
      <c r="D36" s="4" t="s">
        <v>15</v>
      </c>
      <c r="E36" s="5" t="n">
        <v>45350</v>
      </c>
      <c r="F36" s="6" t="n">
        <v>107.87</v>
      </c>
      <c r="G36" s="7" t="n">
        <f aca="false">DATE(YEAR(_xlfn.MINIFS($E$5:$E$281,$B$5:$B$281,B36)),MONTH(_xlfn.MINIFS($E$5:$E$281,$B$5:$B$281,B36)),1)</f>
        <v>45323</v>
      </c>
      <c r="H36" s="4" t="n">
        <f aca="false">(YEAR(E36)-YEAR(G36))*12+(MONTH(E36)-MONTH(G36))</f>
        <v>0</v>
      </c>
    </row>
    <row r="37" customFormat="false" ht="15" hidden="false" customHeight="false" outlineLevel="0" collapsed="false">
      <c r="A37" s="4" t="n">
        <v>5102</v>
      </c>
      <c r="B37" s="4" t="s">
        <v>27</v>
      </c>
      <c r="C37" s="4" t="s">
        <v>28</v>
      </c>
      <c r="D37" s="4" t="s">
        <v>18</v>
      </c>
      <c r="E37" s="5" t="n">
        <v>45350</v>
      </c>
      <c r="F37" s="6" t="n">
        <v>188.97</v>
      </c>
      <c r="G37" s="7" t="n">
        <f aca="false">DATE(YEAR(_xlfn.MINIFS($E$5:$E$281,$B$5:$B$281,B37)),MONTH(_xlfn.MINIFS($E$5:$E$281,$B$5:$B$281,B37)),1)</f>
        <v>45292</v>
      </c>
      <c r="H37" s="4" t="n">
        <f aca="false">(YEAR(E37)-YEAR(G37))*12+(MONTH(E37)-MONTH(G37))</f>
        <v>1</v>
      </c>
    </row>
    <row r="38" customFormat="false" ht="15" hidden="false" customHeight="false" outlineLevel="0" collapsed="false">
      <c r="A38" s="4" t="n">
        <v>5023</v>
      </c>
      <c r="B38" s="4" t="s">
        <v>25</v>
      </c>
      <c r="C38" s="4" t="s">
        <v>26</v>
      </c>
      <c r="D38" s="4" t="s">
        <v>18</v>
      </c>
      <c r="E38" s="5" t="n">
        <v>45352</v>
      </c>
      <c r="F38" s="6" t="n">
        <v>218.87</v>
      </c>
      <c r="G38" s="7" t="n">
        <f aca="false">DATE(YEAR(_xlfn.MINIFS($E$5:$E$281,$B$5:$B$281,B38)),MONTH(_xlfn.MINIFS($E$5:$E$281,$B$5:$B$281,B38)),1)</f>
        <v>45292</v>
      </c>
      <c r="H38" s="4" t="n">
        <f aca="false">(YEAR(E38)-YEAR(G38))*12+(MONTH(E38)-MONTH(G38))</f>
        <v>2</v>
      </c>
    </row>
    <row r="39" customFormat="false" ht="15" hidden="false" customHeight="false" outlineLevel="0" collapsed="false">
      <c r="A39" s="4" t="n">
        <v>5131</v>
      </c>
      <c r="B39" s="4" t="s">
        <v>33</v>
      </c>
      <c r="C39" s="4" t="s">
        <v>34</v>
      </c>
      <c r="D39" s="4" t="s">
        <v>24</v>
      </c>
      <c r="E39" s="5" t="n">
        <v>45353</v>
      </c>
      <c r="F39" s="6" t="n">
        <v>52.74</v>
      </c>
      <c r="G39" s="7" t="n">
        <f aca="false">DATE(YEAR(_xlfn.MINIFS($E$5:$E$281,$B$5:$B$281,B39)),MONTH(_xlfn.MINIFS($E$5:$E$281,$B$5:$B$281,B39)),1)</f>
        <v>45323</v>
      </c>
      <c r="H39" s="4" t="n">
        <f aca="false">(YEAR(E39)-YEAR(G39))*12+(MONTH(E39)-MONTH(G39))</f>
        <v>1</v>
      </c>
    </row>
    <row r="40" customFormat="false" ht="15" hidden="false" customHeight="false" outlineLevel="0" collapsed="false">
      <c r="A40" s="4" t="n">
        <v>5050</v>
      </c>
      <c r="B40" s="4" t="s">
        <v>53</v>
      </c>
      <c r="C40" s="4" t="s">
        <v>54</v>
      </c>
      <c r="D40" s="4" t="s">
        <v>12</v>
      </c>
      <c r="E40" s="5" t="n">
        <v>45353</v>
      </c>
      <c r="F40" s="6" t="n">
        <v>42.28</v>
      </c>
      <c r="G40" s="7" t="n">
        <f aca="false">DATE(YEAR(_xlfn.MINIFS($E$5:$E$281,$B$5:$B$281,B40)),MONTH(_xlfn.MINIFS($E$5:$E$281,$B$5:$B$281,B40)),1)</f>
        <v>45352</v>
      </c>
      <c r="H40" s="4" t="n">
        <f aca="false">(YEAR(E40)-YEAR(G40))*12+(MONTH(E40)-MONTH(G40))</f>
        <v>0</v>
      </c>
    </row>
    <row r="41" customFormat="false" ht="15" hidden="false" customHeight="false" outlineLevel="0" collapsed="false">
      <c r="A41" s="4" t="n">
        <v>5277</v>
      </c>
      <c r="B41" s="4" t="s">
        <v>37</v>
      </c>
      <c r="C41" s="4" t="s">
        <v>38</v>
      </c>
      <c r="D41" s="4" t="s">
        <v>18</v>
      </c>
      <c r="E41" s="5" t="n">
        <v>45353</v>
      </c>
      <c r="F41" s="6" t="n">
        <v>43.37</v>
      </c>
      <c r="G41" s="7" t="n">
        <f aca="false">DATE(YEAR(_xlfn.MINIFS($E$5:$E$281,$B$5:$B$281,B41)),MONTH(_xlfn.MINIFS($E$5:$E$281,$B$5:$B$281,B41)),1)</f>
        <v>45323</v>
      </c>
      <c r="H41" s="4" t="n">
        <f aca="false">(YEAR(E41)-YEAR(G41))*12+(MONTH(E41)-MONTH(G41))</f>
        <v>1</v>
      </c>
    </row>
    <row r="42" customFormat="false" ht="15" hidden="false" customHeight="false" outlineLevel="0" collapsed="false">
      <c r="A42" s="4" t="n">
        <v>5031</v>
      </c>
      <c r="B42" s="4" t="s">
        <v>45</v>
      </c>
      <c r="C42" s="4" t="s">
        <v>46</v>
      </c>
      <c r="D42" s="4" t="s">
        <v>24</v>
      </c>
      <c r="E42" s="5" t="n">
        <v>45354</v>
      </c>
      <c r="F42" s="6" t="n">
        <v>151.37</v>
      </c>
      <c r="G42" s="7" t="n">
        <f aca="false">DATE(YEAR(_xlfn.MINIFS($E$5:$E$281,$B$5:$B$281,B42)),MONTH(_xlfn.MINIFS($E$5:$E$281,$B$5:$B$281,B42)),1)</f>
        <v>45323</v>
      </c>
      <c r="H42" s="4" t="n">
        <f aca="false">(YEAR(E42)-YEAR(G42))*12+(MONTH(E42)-MONTH(G42))</f>
        <v>1</v>
      </c>
    </row>
    <row r="43" customFormat="false" ht="15" hidden="false" customHeight="false" outlineLevel="0" collapsed="false">
      <c r="A43" s="4" t="n">
        <v>5055</v>
      </c>
      <c r="B43" s="4" t="s">
        <v>43</v>
      </c>
      <c r="C43" s="4" t="s">
        <v>44</v>
      </c>
      <c r="D43" s="4" t="s">
        <v>15</v>
      </c>
      <c r="E43" s="5" t="n">
        <v>45354</v>
      </c>
      <c r="F43" s="6" t="n">
        <v>188.46</v>
      </c>
      <c r="G43" s="7" t="n">
        <f aca="false">DATE(YEAR(_xlfn.MINIFS($E$5:$E$281,$B$5:$B$281,B43)),MONTH(_xlfn.MINIFS($E$5:$E$281,$B$5:$B$281,B43)),1)</f>
        <v>45323</v>
      </c>
      <c r="H43" s="4" t="n">
        <f aca="false">(YEAR(E43)-YEAR(G43))*12+(MONTH(E43)-MONTH(G43))</f>
        <v>1</v>
      </c>
    </row>
    <row r="44" customFormat="false" ht="15" hidden="false" customHeight="false" outlineLevel="0" collapsed="false">
      <c r="A44" s="4" t="n">
        <v>5177</v>
      </c>
      <c r="B44" s="4" t="s">
        <v>55</v>
      </c>
      <c r="C44" s="4" t="s">
        <v>56</v>
      </c>
      <c r="D44" s="4" t="s">
        <v>18</v>
      </c>
      <c r="E44" s="5" t="n">
        <v>45356</v>
      </c>
      <c r="F44" s="6" t="n">
        <v>24.05</v>
      </c>
      <c r="G44" s="7" t="n">
        <f aca="false">DATE(YEAR(_xlfn.MINIFS($E$5:$E$281,$B$5:$B$281,B44)),MONTH(_xlfn.MINIFS($E$5:$E$281,$B$5:$B$281,B44)),1)</f>
        <v>45352</v>
      </c>
      <c r="H44" s="4" t="n">
        <f aca="false">(YEAR(E44)-YEAR(G44))*12+(MONTH(E44)-MONTH(G44))</f>
        <v>0</v>
      </c>
    </row>
    <row r="45" customFormat="false" ht="15" hidden="false" customHeight="false" outlineLevel="0" collapsed="false">
      <c r="A45" s="4" t="n">
        <v>5049</v>
      </c>
      <c r="B45" s="4" t="s">
        <v>53</v>
      </c>
      <c r="C45" s="4" t="s">
        <v>54</v>
      </c>
      <c r="D45" s="4" t="s">
        <v>12</v>
      </c>
      <c r="E45" s="5" t="n">
        <v>45359</v>
      </c>
      <c r="F45" s="6" t="n">
        <v>32.44</v>
      </c>
      <c r="G45" s="7" t="n">
        <f aca="false">DATE(YEAR(_xlfn.MINIFS($E$5:$E$281,$B$5:$B$281,B45)),MONTH(_xlfn.MINIFS($E$5:$E$281,$B$5:$B$281,B45)),1)</f>
        <v>45352</v>
      </c>
      <c r="H45" s="4" t="n">
        <f aca="false">(YEAR(E45)-YEAR(G45))*12+(MONTH(E45)-MONTH(G45))</f>
        <v>0</v>
      </c>
    </row>
    <row r="46" customFormat="false" ht="15" hidden="false" customHeight="false" outlineLevel="0" collapsed="false">
      <c r="A46" s="4" t="n">
        <v>5184</v>
      </c>
      <c r="B46" s="4" t="s">
        <v>57</v>
      </c>
      <c r="C46" s="4" t="s">
        <v>58</v>
      </c>
      <c r="D46" s="4" t="s">
        <v>21</v>
      </c>
      <c r="E46" s="5" t="n">
        <v>45361</v>
      </c>
      <c r="F46" s="6" t="n">
        <v>151.9</v>
      </c>
      <c r="G46" s="7" t="n">
        <f aca="false">DATE(YEAR(_xlfn.MINIFS($E$5:$E$281,$B$5:$B$281,B46)),MONTH(_xlfn.MINIFS($E$5:$E$281,$B$5:$B$281,B46)),1)</f>
        <v>45352</v>
      </c>
      <c r="H46" s="4" t="n">
        <f aca="false">(YEAR(E46)-YEAR(G46))*12+(MONTH(E46)-MONTH(G46))</f>
        <v>0</v>
      </c>
    </row>
    <row r="47" customFormat="false" ht="15" hidden="false" customHeight="false" outlineLevel="0" collapsed="false">
      <c r="A47" s="4" t="n">
        <v>5124</v>
      </c>
      <c r="B47" s="4" t="s">
        <v>41</v>
      </c>
      <c r="C47" s="4" t="s">
        <v>42</v>
      </c>
      <c r="D47" s="4" t="s">
        <v>18</v>
      </c>
      <c r="E47" s="5" t="n">
        <v>45362</v>
      </c>
      <c r="F47" s="6" t="n">
        <v>162.26</v>
      </c>
      <c r="G47" s="7" t="n">
        <f aca="false">DATE(YEAR(_xlfn.MINIFS($E$5:$E$281,$B$5:$B$281,B47)),MONTH(_xlfn.MINIFS($E$5:$E$281,$B$5:$B$281,B47)),1)</f>
        <v>45323</v>
      </c>
      <c r="H47" s="4" t="n">
        <f aca="false">(YEAR(E47)-YEAR(G47))*12+(MONTH(E47)-MONTH(G47))</f>
        <v>1</v>
      </c>
    </row>
    <row r="48" customFormat="false" ht="15" hidden="false" customHeight="false" outlineLevel="0" collapsed="false">
      <c r="A48" s="4" t="n">
        <v>5103</v>
      </c>
      <c r="B48" s="4" t="s">
        <v>27</v>
      </c>
      <c r="C48" s="4" t="s">
        <v>28</v>
      </c>
      <c r="D48" s="4" t="s">
        <v>18</v>
      </c>
      <c r="E48" s="5" t="n">
        <v>45364</v>
      </c>
      <c r="F48" s="6" t="n">
        <v>96.95</v>
      </c>
      <c r="G48" s="7" t="n">
        <f aca="false">DATE(YEAR(_xlfn.MINIFS($E$5:$E$281,$B$5:$B$281,B48)),MONTH(_xlfn.MINIFS($E$5:$E$281,$B$5:$B$281,B48)),1)</f>
        <v>45292</v>
      </c>
      <c r="H48" s="4" t="n">
        <f aca="false">(YEAR(E48)-YEAR(G48))*12+(MONTH(E48)-MONTH(G48))</f>
        <v>2</v>
      </c>
    </row>
    <row r="49" customFormat="false" ht="15" hidden="false" customHeight="false" outlineLevel="0" collapsed="false">
      <c r="A49" s="4" t="n">
        <v>5027</v>
      </c>
      <c r="B49" s="4" t="s">
        <v>59</v>
      </c>
      <c r="C49" s="4" t="s">
        <v>60</v>
      </c>
      <c r="D49" s="4" t="s">
        <v>15</v>
      </c>
      <c r="E49" s="5" t="n">
        <v>45364</v>
      </c>
      <c r="F49" s="6" t="n">
        <v>213.91</v>
      </c>
      <c r="G49" s="7" t="n">
        <f aca="false">DATE(YEAR(_xlfn.MINIFS($E$5:$E$281,$B$5:$B$281,B49)),MONTH(_xlfn.MINIFS($E$5:$E$281,$B$5:$B$281,B49)),1)</f>
        <v>45352</v>
      </c>
      <c r="H49" s="4" t="n">
        <f aca="false">(YEAR(E49)-YEAR(G49))*12+(MONTH(E49)-MONTH(G49))</f>
        <v>0</v>
      </c>
    </row>
    <row r="50" customFormat="false" ht="15" hidden="false" customHeight="false" outlineLevel="0" collapsed="false">
      <c r="A50" s="4" t="n">
        <v>5104</v>
      </c>
      <c r="B50" s="4" t="s">
        <v>27</v>
      </c>
      <c r="C50" s="4" t="s">
        <v>28</v>
      </c>
      <c r="D50" s="4" t="s">
        <v>18</v>
      </c>
      <c r="E50" s="5" t="n">
        <v>45366</v>
      </c>
      <c r="F50" s="6" t="n">
        <v>103.53</v>
      </c>
      <c r="G50" s="7" t="n">
        <f aca="false">DATE(YEAR(_xlfn.MINIFS($E$5:$E$281,$B$5:$B$281,B50)),MONTH(_xlfn.MINIFS($E$5:$E$281,$B$5:$B$281,B50)),1)</f>
        <v>45292</v>
      </c>
      <c r="H50" s="4" t="n">
        <f aca="false">(YEAR(E50)-YEAR(G50))*12+(MONTH(E50)-MONTH(G50))</f>
        <v>2</v>
      </c>
    </row>
    <row r="51" customFormat="false" ht="15" hidden="false" customHeight="false" outlineLevel="0" collapsed="false">
      <c r="A51" s="4" t="n">
        <v>5005</v>
      </c>
      <c r="B51" s="4" t="s">
        <v>29</v>
      </c>
      <c r="C51" s="4" t="s">
        <v>30</v>
      </c>
      <c r="D51" s="4" t="s">
        <v>15</v>
      </c>
      <c r="E51" s="5" t="n">
        <v>45366</v>
      </c>
      <c r="F51" s="6" t="n">
        <v>159.15</v>
      </c>
      <c r="G51" s="7" t="n">
        <f aca="false">DATE(YEAR(_xlfn.MINIFS($E$5:$E$281,$B$5:$B$281,B51)),MONTH(_xlfn.MINIFS($E$5:$E$281,$B$5:$B$281,B51)),1)</f>
        <v>45292</v>
      </c>
      <c r="H51" s="4" t="n">
        <f aca="false">(YEAR(E51)-YEAR(G51))*12+(MONTH(E51)-MONTH(G51))</f>
        <v>2</v>
      </c>
    </row>
    <row r="52" customFormat="false" ht="15" hidden="false" customHeight="false" outlineLevel="0" collapsed="false">
      <c r="A52" s="4" t="n">
        <v>5226</v>
      </c>
      <c r="B52" s="4" t="s">
        <v>61</v>
      </c>
      <c r="C52" s="4" t="s">
        <v>62</v>
      </c>
      <c r="D52" s="4" t="s">
        <v>18</v>
      </c>
      <c r="E52" s="5" t="n">
        <v>45368</v>
      </c>
      <c r="F52" s="6" t="n">
        <v>63.67</v>
      </c>
      <c r="G52" s="7" t="n">
        <f aca="false">DATE(YEAR(_xlfn.MINIFS($E$5:$E$281,$B$5:$B$281,B52)),MONTH(_xlfn.MINIFS($E$5:$E$281,$B$5:$B$281,B52)),1)</f>
        <v>45352</v>
      </c>
      <c r="H52" s="4" t="n">
        <f aca="false">(YEAR(E52)-YEAR(G52))*12+(MONTH(E52)-MONTH(G52))</f>
        <v>0</v>
      </c>
    </row>
    <row r="53" customFormat="false" ht="15" hidden="false" customHeight="false" outlineLevel="0" collapsed="false">
      <c r="A53" s="4" t="n">
        <v>5047</v>
      </c>
      <c r="B53" s="4" t="s">
        <v>49</v>
      </c>
      <c r="C53" s="4" t="s">
        <v>50</v>
      </c>
      <c r="D53" s="4" t="s">
        <v>12</v>
      </c>
      <c r="E53" s="5" t="n">
        <v>45368</v>
      </c>
      <c r="F53" s="6" t="n">
        <v>131.54</v>
      </c>
      <c r="G53" s="7" t="n">
        <f aca="false">DATE(YEAR(_xlfn.MINIFS($E$5:$E$281,$B$5:$B$281,B53)),MONTH(_xlfn.MINIFS($E$5:$E$281,$B$5:$B$281,B53)),1)</f>
        <v>45323</v>
      </c>
      <c r="H53" s="4" t="n">
        <f aca="false">(YEAR(E53)-YEAR(G53))*12+(MONTH(E53)-MONTH(G53))</f>
        <v>1</v>
      </c>
    </row>
    <row r="54" customFormat="false" ht="15" hidden="false" customHeight="false" outlineLevel="0" collapsed="false">
      <c r="A54" s="4" t="n">
        <v>5026</v>
      </c>
      <c r="B54" s="4" t="s">
        <v>59</v>
      </c>
      <c r="C54" s="4" t="s">
        <v>60</v>
      </c>
      <c r="D54" s="4" t="s">
        <v>15</v>
      </c>
      <c r="E54" s="5" t="n">
        <v>45369</v>
      </c>
      <c r="F54" s="6" t="n">
        <v>186.1</v>
      </c>
      <c r="G54" s="7" t="n">
        <f aca="false">DATE(YEAR(_xlfn.MINIFS($E$5:$E$281,$B$5:$B$281,B54)),MONTH(_xlfn.MINIFS($E$5:$E$281,$B$5:$B$281,B54)),1)</f>
        <v>45352</v>
      </c>
      <c r="H54" s="4" t="n">
        <f aca="false">(YEAR(E54)-YEAR(G54))*12+(MONTH(E54)-MONTH(G54))</f>
        <v>0</v>
      </c>
    </row>
    <row r="55" customFormat="false" ht="15" hidden="false" customHeight="false" outlineLevel="0" collapsed="false">
      <c r="A55" s="4" t="n">
        <v>5254</v>
      </c>
      <c r="B55" s="4" t="s">
        <v>47</v>
      </c>
      <c r="C55" s="4" t="s">
        <v>48</v>
      </c>
      <c r="D55" s="4" t="s">
        <v>15</v>
      </c>
      <c r="E55" s="5" t="n">
        <v>45371</v>
      </c>
      <c r="F55" s="6" t="n">
        <v>146.75</v>
      </c>
      <c r="G55" s="7" t="n">
        <f aca="false">DATE(YEAR(_xlfn.MINIFS($E$5:$E$281,$B$5:$B$281,B55)),MONTH(_xlfn.MINIFS($E$5:$E$281,$B$5:$B$281,B55)),1)</f>
        <v>45323</v>
      </c>
      <c r="H55" s="4" t="n">
        <f aca="false">(YEAR(E55)-YEAR(G55))*12+(MONTH(E55)-MONTH(G55))</f>
        <v>1</v>
      </c>
    </row>
    <row r="56" customFormat="false" ht="15" hidden="false" customHeight="false" outlineLevel="0" collapsed="false">
      <c r="A56" s="4" t="n">
        <v>5085</v>
      </c>
      <c r="B56" s="4" t="s">
        <v>63</v>
      </c>
      <c r="C56" s="4" t="s">
        <v>64</v>
      </c>
      <c r="D56" s="4" t="s">
        <v>18</v>
      </c>
      <c r="E56" s="5" t="n">
        <v>45375</v>
      </c>
      <c r="F56" s="6" t="n">
        <v>99.23</v>
      </c>
      <c r="G56" s="7" t="n">
        <f aca="false">DATE(YEAR(_xlfn.MINIFS($E$5:$E$281,$B$5:$B$281,B56)),MONTH(_xlfn.MINIFS($E$5:$E$281,$B$5:$B$281,B56)),1)</f>
        <v>45352</v>
      </c>
      <c r="H56" s="4" t="n">
        <f aca="false">(YEAR(E56)-YEAR(G56))*12+(MONTH(E56)-MONTH(G56))</f>
        <v>0</v>
      </c>
    </row>
    <row r="57" customFormat="false" ht="15" hidden="false" customHeight="false" outlineLevel="0" collapsed="false">
      <c r="A57" s="4" t="n">
        <v>5127</v>
      </c>
      <c r="B57" s="4" t="s">
        <v>65</v>
      </c>
      <c r="C57" s="4" t="s">
        <v>66</v>
      </c>
      <c r="D57" s="4" t="s">
        <v>21</v>
      </c>
      <c r="E57" s="5" t="n">
        <v>45376</v>
      </c>
      <c r="F57" s="6" t="n">
        <v>197.31</v>
      </c>
      <c r="G57" s="7" t="n">
        <f aca="false">DATE(YEAR(_xlfn.MINIFS($E$5:$E$281,$B$5:$B$281,B57)),MONTH(_xlfn.MINIFS($E$5:$E$281,$B$5:$B$281,B57)),1)</f>
        <v>45352</v>
      </c>
      <c r="H57" s="4" t="n">
        <f aca="false">(YEAR(E57)-YEAR(G57))*12+(MONTH(E57)-MONTH(G57))</f>
        <v>0</v>
      </c>
    </row>
    <row r="58" customFormat="false" ht="15" hidden="false" customHeight="false" outlineLevel="0" collapsed="false">
      <c r="A58" s="4" t="n">
        <v>5222</v>
      </c>
      <c r="B58" s="4" t="s">
        <v>67</v>
      </c>
      <c r="C58" s="4" t="s">
        <v>68</v>
      </c>
      <c r="D58" s="4" t="s">
        <v>21</v>
      </c>
      <c r="E58" s="5" t="n">
        <v>45377</v>
      </c>
      <c r="F58" s="6" t="n">
        <v>162.82</v>
      </c>
      <c r="G58" s="7" t="n">
        <f aca="false">DATE(YEAR(_xlfn.MINIFS($E$5:$E$281,$B$5:$B$281,B58)),MONTH(_xlfn.MINIFS($E$5:$E$281,$B$5:$B$281,B58)),1)</f>
        <v>45352</v>
      </c>
      <c r="H58" s="4" t="n">
        <f aca="false">(YEAR(E58)-YEAR(G58))*12+(MONTH(E58)-MONTH(G58))</f>
        <v>0</v>
      </c>
    </row>
    <row r="59" customFormat="false" ht="15" hidden="false" customHeight="false" outlineLevel="0" collapsed="false">
      <c r="A59" s="4" t="n">
        <v>5017</v>
      </c>
      <c r="B59" s="4" t="s">
        <v>19</v>
      </c>
      <c r="C59" s="4" t="s">
        <v>20</v>
      </c>
      <c r="D59" s="4" t="s">
        <v>21</v>
      </c>
      <c r="E59" s="5" t="n">
        <v>45381</v>
      </c>
      <c r="F59" s="6" t="n">
        <v>202.66</v>
      </c>
      <c r="G59" s="7" t="n">
        <f aca="false">DATE(YEAR(_xlfn.MINIFS($E$5:$E$281,$B$5:$B$281,B59)),MONTH(_xlfn.MINIFS($E$5:$E$281,$B$5:$B$281,B59)),1)</f>
        <v>45292</v>
      </c>
      <c r="H59" s="4" t="n">
        <f aca="false">(YEAR(E59)-YEAR(G59))*12+(MONTH(E59)-MONTH(G59))</f>
        <v>2</v>
      </c>
    </row>
    <row r="60" customFormat="false" ht="15" hidden="false" customHeight="false" outlineLevel="0" collapsed="false">
      <c r="A60" s="4" t="n">
        <v>5105</v>
      </c>
      <c r="B60" s="4" t="s">
        <v>27</v>
      </c>
      <c r="C60" s="4" t="s">
        <v>28</v>
      </c>
      <c r="D60" s="4" t="s">
        <v>18</v>
      </c>
      <c r="E60" s="5" t="n">
        <v>45383</v>
      </c>
      <c r="F60" s="6" t="n">
        <v>41.09</v>
      </c>
      <c r="G60" s="7" t="n">
        <f aca="false">DATE(YEAR(_xlfn.MINIFS($E$5:$E$281,$B$5:$B$281,B60)),MONTH(_xlfn.MINIFS($E$5:$E$281,$B$5:$B$281,B60)),1)</f>
        <v>45292</v>
      </c>
      <c r="H60" s="4" t="n">
        <f aca="false">(YEAR(E60)-YEAR(G60))*12+(MONTH(E60)-MONTH(G60))</f>
        <v>3</v>
      </c>
    </row>
    <row r="61" customFormat="false" ht="15" hidden="false" customHeight="false" outlineLevel="0" collapsed="false">
      <c r="A61" s="4" t="n">
        <v>5154</v>
      </c>
      <c r="B61" s="4" t="s">
        <v>69</v>
      </c>
      <c r="C61" s="4" t="s">
        <v>70</v>
      </c>
      <c r="D61" s="4" t="s">
        <v>15</v>
      </c>
      <c r="E61" s="5" t="n">
        <v>45383</v>
      </c>
      <c r="F61" s="6" t="n">
        <v>179.53</v>
      </c>
      <c r="G61" s="7" t="n">
        <f aca="false">DATE(YEAR(_xlfn.MINIFS($E$5:$E$281,$B$5:$B$281,B61)),MONTH(_xlfn.MINIFS($E$5:$E$281,$B$5:$B$281,B61)),1)</f>
        <v>45383</v>
      </c>
      <c r="H61" s="4" t="n">
        <f aca="false">(YEAR(E61)-YEAR(G61))*12+(MONTH(E61)-MONTH(G61))</f>
        <v>0</v>
      </c>
    </row>
    <row r="62" customFormat="false" ht="15" hidden="false" customHeight="false" outlineLevel="0" collapsed="false">
      <c r="A62" s="4" t="n">
        <v>5224</v>
      </c>
      <c r="B62" s="4" t="s">
        <v>67</v>
      </c>
      <c r="C62" s="4" t="s">
        <v>68</v>
      </c>
      <c r="D62" s="4" t="s">
        <v>21</v>
      </c>
      <c r="E62" s="5" t="n">
        <v>45388</v>
      </c>
      <c r="F62" s="6" t="n">
        <v>81.39</v>
      </c>
      <c r="G62" s="7" t="n">
        <f aca="false">DATE(YEAR(_xlfn.MINIFS($E$5:$E$281,$B$5:$B$281,B62)),MONTH(_xlfn.MINIFS($E$5:$E$281,$B$5:$B$281,B62)),1)</f>
        <v>45352</v>
      </c>
      <c r="H62" s="4" t="n">
        <f aca="false">(YEAR(E62)-YEAR(G62))*12+(MONTH(E62)-MONTH(G62))</f>
        <v>1</v>
      </c>
    </row>
    <row r="63" customFormat="false" ht="15" hidden="false" customHeight="false" outlineLevel="0" collapsed="false">
      <c r="A63" s="4" t="n">
        <v>5028</v>
      </c>
      <c r="B63" s="4" t="s">
        <v>59</v>
      </c>
      <c r="C63" s="4" t="s">
        <v>60</v>
      </c>
      <c r="D63" s="4" t="s">
        <v>15</v>
      </c>
      <c r="E63" s="5" t="n">
        <v>45390</v>
      </c>
      <c r="F63" s="6" t="n">
        <v>85.25</v>
      </c>
      <c r="G63" s="7" t="n">
        <f aca="false">DATE(YEAR(_xlfn.MINIFS($E$5:$E$281,$B$5:$B$281,B63)),MONTH(_xlfn.MINIFS($E$5:$E$281,$B$5:$B$281,B63)),1)</f>
        <v>45352</v>
      </c>
      <c r="H63" s="4" t="n">
        <f aca="false">(YEAR(E63)-YEAR(G63))*12+(MONTH(E63)-MONTH(G63))</f>
        <v>1</v>
      </c>
    </row>
    <row r="64" customFormat="false" ht="15" hidden="false" customHeight="false" outlineLevel="0" collapsed="false">
      <c r="A64" s="4" t="n">
        <v>5056</v>
      </c>
      <c r="B64" s="4" t="s">
        <v>43</v>
      </c>
      <c r="C64" s="4" t="s">
        <v>44</v>
      </c>
      <c r="D64" s="4" t="s">
        <v>15</v>
      </c>
      <c r="E64" s="5" t="n">
        <v>45390</v>
      </c>
      <c r="F64" s="6" t="n">
        <v>166.66</v>
      </c>
      <c r="G64" s="7" t="n">
        <f aca="false">DATE(YEAR(_xlfn.MINIFS($E$5:$E$281,$B$5:$B$281,B64)),MONTH(_xlfn.MINIFS($E$5:$E$281,$B$5:$B$281,B64)),1)</f>
        <v>45323</v>
      </c>
      <c r="H64" s="4" t="n">
        <f aca="false">(YEAR(E64)-YEAR(G64))*12+(MONTH(E64)-MONTH(G64))</f>
        <v>2</v>
      </c>
    </row>
    <row r="65" customFormat="false" ht="15" hidden="false" customHeight="false" outlineLevel="0" collapsed="false">
      <c r="A65" s="4" t="n">
        <v>5006</v>
      </c>
      <c r="B65" s="4" t="s">
        <v>29</v>
      </c>
      <c r="C65" s="4" t="s">
        <v>30</v>
      </c>
      <c r="D65" s="4" t="s">
        <v>15</v>
      </c>
      <c r="E65" s="5" t="n">
        <v>45392</v>
      </c>
      <c r="F65" s="6" t="n">
        <v>120.01</v>
      </c>
      <c r="G65" s="7" t="n">
        <f aca="false">DATE(YEAR(_xlfn.MINIFS($E$5:$E$281,$B$5:$B$281,B65)),MONTH(_xlfn.MINIFS($E$5:$E$281,$B$5:$B$281,B65)),1)</f>
        <v>45292</v>
      </c>
      <c r="H65" s="4" t="n">
        <f aca="false">(YEAR(E65)-YEAR(G65))*12+(MONTH(E65)-MONTH(G65))</f>
        <v>3</v>
      </c>
    </row>
    <row r="66" customFormat="false" ht="15" hidden="false" customHeight="false" outlineLevel="0" collapsed="false">
      <c r="A66" s="4" t="n">
        <v>5032</v>
      </c>
      <c r="B66" s="4" t="s">
        <v>45</v>
      </c>
      <c r="C66" s="4" t="s">
        <v>46</v>
      </c>
      <c r="D66" s="4" t="s">
        <v>24</v>
      </c>
      <c r="E66" s="5" t="n">
        <v>45392</v>
      </c>
      <c r="F66" s="6" t="n">
        <v>137.75</v>
      </c>
      <c r="G66" s="7" t="n">
        <f aca="false">DATE(YEAR(_xlfn.MINIFS($E$5:$E$281,$B$5:$B$281,B66)),MONTH(_xlfn.MINIFS($E$5:$E$281,$B$5:$B$281,B66)),1)</f>
        <v>45323</v>
      </c>
      <c r="H66" s="4" t="n">
        <f aca="false">(YEAR(E66)-YEAR(G66))*12+(MONTH(E66)-MONTH(G66))</f>
        <v>2</v>
      </c>
    </row>
    <row r="67" customFormat="false" ht="15" hidden="false" customHeight="false" outlineLevel="0" collapsed="false">
      <c r="A67" s="4" t="n">
        <v>5165</v>
      </c>
      <c r="B67" s="4" t="s">
        <v>71</v>
      </c>
      <c r="C67" s="4" t="s">
        <v>72</v>
      </c>
      <c r="D67" s="4" t="s">
        <v>24</v>
      </c>
      <c r="E67" s="5" t="n">
        <v>45394</v>
      </c>
      <c r="F67" s="6" t="n">
        <v>67.08</v>
      </c>
      <c r="G67" s="7" t="n">
        <f aca="false">DATE(YEAR(_xlfn.MINIFS($E$5:$E$281,$B$5:$B$281,B67)),MONTH(_xlfn.MINIFS($E$5:$E$281,$B$5:$B$281,B67)),1)</f>
        <v>45383</v>
      </c>
      <c r="H67" s="4" t="n">
        <f aca="false">(YEAR(E67)-YEAR(G67))*12+(MONTH(E67)-MONTH(G67))</f>
        <v>0</v>
      </c>
    </row>
    <row r="68" customFormat="false" ht="15" hidden="false" customHeight="false" outlineLevel="0" collapsed="false">
      <c r="A68" s="4" t="n">
        <v>5239</v>
      </c>
      <c r="B68" s="4" t="s">
        <v>73</v>
      </c>
      <c r="C68" s="4" t="s">
        <v>74</v>
      </c>
      <c r="D68" s="4" t="s">
        <v>12</v>
      </c>
      <c r="E68" s="5" t="n">
        <v>45394</v>
      </c>
      <c r="F68" s="6" t="n">
        <v>198.59</v>
      </c>
      <c r="G68" s="7" t="n">
        <f aca="false">DATE(YEAR(_xlfn.MINIFS($E$5:$E$281,$B$5:$B$281,B68)),MONTH(_xlfn.MINIFS($E$5:$E$281,$B$5:$B$281,B68)),1)</f>
        <v>45383</v>
      </c>
      <c r="H68" s="4" t="n">
        <f aca="false">(YEAR(E68)-YEAR(G68))*12+(MONTH(E68)-MONTH(G68))</f>
        <v>0</v>
      </c>
    </row>
    <row r="69" customFormat="false" ht="15" hidden="false" customHeight="false" outlineLevel="0" collapsed="false">
      <c r="A69" s="4" t="n">
        <v>5227</v>
      </c>
      <c r="B69" s="4" t="s">
        <v>61</v>
      </c>
      <c r="C69" s="4" t="s">
        <v>62</v>
      </c>
      <c r="D69" s="4" t="s">
        <v>18</v>
      </c>
      <c r="E69" s="5" t="n">
        <v>45395</v>
      </c>
      <c r="F69" s="6" t="n">
        <v>48.05</v>
      </c>
      <c r="G69" s="7" t="n">
        <f aca="false">DATE(YEAR(_xlfn.MINIFS($E$5:$E$281,$B$5:$B$281,B69)),MONTH(_xlfn.MINIFS($E$5:$E$281,$B$5:$B$281,B69)),1)</f>
        <v>45352</v>
      </c>
      <c r="H69" s="4" t="n">
        <f aca="false">(YEAR(E69)-YEAR(G69))*12+(MONTH(E69)-MONTH(G69))</f>
        <v>1</v>
      </c>
    </row>
    <row r="70" customFormat="false" ht="15" hidden="false" customHeight="false" outlineLevel="0" collapsed="false">
      <c r="A70" s="4" t="n">
        <v>5075</v>
      </c>
      <c r="B70" s="4" t="s">
        <v>75</v>
      </c>
      <c r="C70" s="4" t="s">
        <v>76</v>
      </c>
      <c r="D70" s="4" t="s">
        <v>24</v>
      </c>
      <c r="E70" s="5" t="n">
        <v>45395</v>
      </c>
      <c r="F70" s="6" t="n">
        <v>39.61</v>
      </c>
      <c r="G70" s="7" t="n">
        <f aca="false">DATE(YEAR(_xlfn.MINIFS($E$5:$E$281,$B$5:$B$281,B70)),MONTH(_xlfn.MINIFS($E$5:$E$281,$B$5:$B$281,B70)),1)</f>
        <v>45383</v>
      </c>
      <c r="H70" s="4" t="n">
        <f aca="false">(YEAR(E70)-YEAR(G70))*12+(MONTH(E70)-MONTH(G70))</f>
        <v>0</v>
      </c>
    </row>
    <row r="71" customFormat="false" ht="15" hidden="false" customHeight="false" outlineLevel="0" collapsed="false">
      <c r="A71" s="4" t="n">
        <v>5106</v>
      </c>
      <c r="B71" s="4" t="s">
        <v>27</v>
      </c>
      <c r="C71" s="4" t="s">
        <v>28</v>
      </c>
      <c r="D71" s="4" t="s">
        <v>18</v>
      </c>
      <c r="E71" s="5" t="n">
        <v>45396</v>
      </c>
      <c r="F71" s="6" t="n">
        <v>160.45</v>
      </c>
      <c r="G71" s="7" t="n">
        <f aca="false">DATE(YEAR(_xlfn.MINIFS($E$5:$E$281,$B$5:$B$281,B71)),MONTH(_xlfn.MINIFS($E$5:$E$281,$B$5:$B$281,B71)),1)</f>
        <v>45292</v>
      </c>
      <c r="H71" s="4" t="n">
        <f aca="false">(YEAR(E71)-YEAR(G71))*12+(MONTH(E71)-MONTH(G71))</f>
        <v>3</v>
      </c>
    </row>
    <row r="72" customFormat="false" ht="15" hidden="false" customHeight="false" outlineLevel="0" collapsed="false">
      <c r="A72" s="4" t="n">
        <v>5057</v>
      </c>
      <c r="B72" s="4" t="s">
        <v>43</v>
      </c>
      <c r="C72" s="4" t="s">
        <v>44</v>
      </c>
      <c r="D72" s="4" t="s">
        <v>15</v>
      </c>
      <c r="E72" s="5" t="n">
        <v>45397</v>
      </c>
      <c r="F72" s="6" t="n">
        <v>116.26</v>
      </c>
      <c r="G72" s="7" t="n">
        <f aca="false">DATE(YEAR(_xlfn.MINIFS($E$5:$E$281,$B$5:$B$281,B72)),MONTH(_xlfn.MINIFS($E$5:$E$281,$B$5:$B$281,B72)),1)</f>
        <v>45323</v>
      </c>
      <c r="H72" s="4" t="n">
        <f aca="false">(YEAR(E72)-YEAR(G72))*12+(MONTH(E72)-MONTH(G72))</f>
        <v>2</v>
      </c>
    </row>
    <row r="73" customFormat="false" ht="15" hidden="false" customHeight="false" outlineLevel="0" collapsed="false">
      <c r="A73" s="4" t="n">
        <v>5024</v>
      </c>
      <c r="B73" s="4" t="s">
        <v>25</v>
      </c>
      <c r="C73" s="4" t="s">
        <v>26</v>
      </c>
      <c r="D73" s="4" t="s">
        <v>18</v>
      </c>
      <c r="E73" s="5" t="n">
        <v>45399</v>
      </c>
      <c r="F73" s="6" t="n">
        <v>127.97</v>
      </c>
      <c r="G73" s="7" t="n">
        <f aca="false">DATE(YEAR(_xlfn.MINIFS($E$5:$E$281,$B$5:$B$281,B73)),MONTH(_xlfn.MINIFS($E$5:$E$281,$B$5:$B$281,B73)),1)</f>
        <v>45292</v>
      </c>
      <c r="H73" s="4" t="n">
        <f aca="false">(YEAR(E73)-YEAR(G73))*12+(MONTH(E73)-MONTH(G73))</f>
        <v>3</v>
      </c>
    </row>
    <row r="74" customFormat="false" ht="15" hidden="false" customHeight="false" outlineLevel="0" collapsed="false">
      <c r="A74" s="4" t="n">
        <v>5255</v>
      </c>
      <c r="B74" s="4" t="s">
        <v>47</v>
      </c>
      <c r="C74" s="4" t="s">
        <v>48</v>
      </c>
      <c r="D74" s="4" t="s">
        <v>15</v>
      </c>
      <c r="E74" s="5" t="n">
        <v>45402</v>
      </c>
      <c r="F74" s="6" t="n">
        <v>50.8</v>
      </c>
      <c r="G74" s="7" t="n">
        <f aca="false">DATE(YEAR(_xlfn.MINIFS($E$5:$E$281,$B$5:$B$281,B74)),MONTH(_xlfn.MINIFS($E$5:$E$281,$B$5:$B$281,B74)),1)</f>
        <v>45323</v>
      </c>
      <c r="H74" s="4" t="n">
        <f aca="false">(YEAR(E74)-YEAR(G74))*12+(MONTH(E74)-MONTH(G74))</f>
        <v>2</v>
      </c>
    </row>
    <row r="75" customFormat="false" ht="15" hidden="false" customHeight="false" outlineLevel="0" collapsed="false">
      <c r="A75" s="4" t="n">
        <v>5249</v>
      </c>
      <c r="B75" s="4" t="s">
        <v>77</v>
      </c>
      <c r="C75" s="4" t="s">
        <v>78</v>
      </c>
      <c r="D75" s="4" t="s">
        <v>12</v>
      </c>
      <c r="E75" s="5" t="n">
        <v>45402</v>
      </c>
      <c r="F75" s="6" t="n">
        <v>207.12</v>
      </c>
      <c r="G75" s="7" t="n">
        <f aca="false">DATE(YEAR(_xlfn.MINIFS($E$5:$E$281,$B$5:$B$281,B75)),MONTH(_xlfn.MINIFS($E$5:$E$281,$B$5:$B$281,B75)),1)</f>
        <v>45383</v>
      </c>
      <c r="H75" s="4" t="n">
        <f aca="false">(YEAR(E75)-YEAR(G75))*12+(MONTH(E75)-MONTH(G75))</f>
        <v>0</v>
      </c>
    </row>
    <row r="76" customFormat="false" ht="15" hidden="false" customHeight="false" outlineLevel="0" collapsed="false">
      <c r="A76" s="4" t="n">
        <v>5128</v>
      </c>
      <c r="B76" s="4" t="s">
        <v>65</v>
      </c>
      <c r="C76" s="4" t="s">
        <v>66</v>
      </c>
      <c r="D76" s="4" t="s">
        <v>21</v>
      </c>
      <c r="E76" s="5" t="n">
        <v>45402</v>
      </c>
      <c r="F76" s="6" t="n">
        <v>53.4</v>
      </c>
      <c r="G76" s="7" t="n">
        <f aca="false">DATE(YEAR(_xlfn.MINIFS($E$5:$E$281,$B$5:$B$281,B76)),MONTH(_xlfn.MINIFS($E$5:$E$281,$B$5:$B$281,B76)),1)</f>
        <v>45352</v>
      </c>
      <c r="H76" s="4" t="n">
        <f aca="false">(YEAR(E76)-YEAR(G76))*12+(MONTH(E76)-MONTH(G76))</f>
        <v>1</v>
      </c>
    </row>
    <row r="77" customFormat="false" ht="15" hidden="false" customHeight="false" outlineLevel="0" collapsed="false">
      <c r="A77" s="4" t="n">
        <v>5223</v>
      </c>
      <c r="B77" s="4" t="s">
        <v>67</v>
      </c>
      <c r="C77" s="4" t="s">
        <v>68</v>
      </c>
      <c r="D77" s="4" t="s">
        <v>21</v>
      </c>
      <c r="E77" s="5" t="n">
        <v>45402</v>
      </c>
      <c r="F77" s="6" t="n">
        <v>170.02</v>
      </c>
      <c r="G77" s="7" t="n">
        <f aca="false">DATE(YEAR(_xlfn.MINIFS($E$5:$E$281,$B$5:$B$281,B77)),MONTH(_xlfn.MINIFS($E$5:$E$281,$B$5:$B$281,B77)),1)</f>
        <v>45352</v>
      </c>
      <c r="H77" s="4" t="n">
        <f aca="false">(YEAR(E77)-YEAR(G77))*12+(MONTH(E77)-MONTH(G77))</f>
        <v>1</v>
      </c>
    </row>
    <row r="78" customFormat="false" ht="15" hidden="false" customHeight="false" outlineLevel="0" collapsed="false">
      <c r="A78" s="4" t="n">
        <v>5142</v>
      </c>
      <c r="B78" s="4" t="s">
        <v>79</v>
      </c>
      <c r="C78" s="4" t="s">
        <v>80</v>
      </c>
      <c r="D78" s="4" t="s">
        <v>24</v>
      </c>
      <c r="E78" s="5" t="n">
        <v>45403</v>
      </c>
      <c r="F78" s="6" t="n">
        <v>99.21</v>
      </c>
      <c r="G78" s="7" t="n">
        <f aca="false">DATE(YEAR(_xlfn.MINIFS($E$5:$E$281,$B$5:$B$281,B78)),MONTH(_xlfn.MINIFS($E$5:$E$281,$B$5:$B$281,B78)),1)</f>
        <v>45383</v>
      </c>
      <c r="H78" s="4" t="n">
        <f aca="false">(YEAR(E78)-YEAR(G78))*12+(MONTH(E78)-MONTH(G78))</f>
        <v>0</v>
      </c>
    </row>
    <row r="79" customFormat="false" ht="15" hidden="false" customHeight="false" outlineLevel="0" collapsed="false">
      <c r="A79" s="4" t="n">
        <v>5048</v>
      </c>
      <c r="B79" s="4" t="s">
        <v>49</v>
      </c>
      <c r="C79" s="4" t="s">
        <v>50</v>
      </c>
      <c r="D79" s="4" t="s">
        <v>12</v>
      </c>
      <c r="E79" s="5" t="n">
        <v>45404</v>
      </c>
      <c r="F79" s="6" t="n">
        <v>134.73</v>
      </c>
      <c r="G79" s="7" t="n">
        <f aca="false">DATE(YEAR(_xlfn.MINIFS($E$5:$E$281,$B$5:$B$281,B79)),MONTH(_xlfn.MINIFS($E$5:$E$281,$B$5:$B$281,B79)),1)</f>
        <v>45323</v>
      </c>
      <c r="H79" s="4" t="n">
        <f aca="false">(YEAR(E79)-YEAR(G79))*12+(MONTH(E79)-MONTH(G79))</f>
        <v>2</v>
      </c>
    </row>
    <row r="80" customFormat="false" ht="15" hidden="false" customHeight="false" outlineLevel="0" collapsed="false">
      <c r="A80" s="4" t="n">
        <v>5185</v>
      </c>
      <c r="B80" s="4" t="s">
        <v>57</v>
      </c>
      <c r="C80" s="4" t="s">
        <v>58</v>
      </c>
      <c r="D80" s="4" t="s">
        <v>21</v>
      </c>
      <c r="E80" s="5" t="n">
        <v>45406</v>
      </c>
      <c r="F80" s="6" t="n">
        <v>131.14</v>
      </c>
      <c r="G80" s="7" t="n">
        <f aca="false">DATE(YEAR(_xlfn.MINIFS($E$5:$E$281,$B$5:$B$281,B80)),MONTH(_xlfn.MINIFS($E$5:$E$281,$B$5:$B$281,B80)),1)</f>
        <v>45352</v>
      </c>
      <c r="H80" s="4" t="n">
        <f aca="false">(YEAR(E80)-YEAR(G80))*12+(MONTH(E80)-MONTH(G80))</f>
        <v>1</v>
      </c>
    </row>
    <row r="81" customFormat="false" ht="15" hidden="false" customHeight="false" outlineLevel="0" collapsed="false">
      <c r="A81" s="4" t="n">
        <v>5169</v>
      </c>
      <c r="B81" s="4" t="s">
        <v>81</v>
      </c>
      <c r="C81" s="4" t="s">
        <v>82</v>
      </c>
      <c r="D81" s="4" t="s">
        <v>12</v>
      </c>
      <c r="E81" s="5" t="n">
        <v>45408</v>
      </c>
      <c r="F81" s="6" t="n">
        <v>35.61</v>
      </c>
      <c r="G81" s="7" t="n">
        <f aca="false">DATE(YEAR(_xlfn.MINIFS($E$5:$E$281,$B$5:$B$281,B81)),MONTH(_xlfn.MINIFS($E$5:$E$281,$B$5:$B$281,B81)),1)</f>
        <v>45383</v>
      </c>
      <c r="H81" s="4" t="n">
        <f aca="false">(YEAR(E81)-YEAR(G81))*12+(MONTH(E81)-MONTH(G81))</f>
        <v>0</v>
      </c>
    </row>
    <row r="82" customFormat="false" ht="15" hidden="false" customHeight="false" outlineLevel="0" collapsed="false">
      <c r="A82" s="4" t="n">
        <v>5152</v>
      </c>
      <c r="B82" s="4" t="s">
        <v>69</v>
      </c>
      <c r="C82" s="4" t="s">
        <v>70</v>
      </c>
      <c r="D82" s="4" t="s">
        <v>15</v>
      </c>
      <c r="E82" s="5" t="n">
        <v>45409</v>
      </c>
      <c r="F82" s="6" t="n">
        <v>116.16</v>
      </c>
      <c r="G82" s="7" t="n">
        <f aca="false">DATE(YEAR(_xlfn.MINIFS($E$5:$E$281,$B$5:$B$281,B82)),MONTH(_xlfn.MINIFS($E$5:$E$281,$B$5:$B$281,B82)),1)</f>
        <v>45383</v>
      </c>
      <c r="H82" s="4" t="n">
        <f aca="false">(YEAR(E82)-YEAR(G82))*12+(MONTH(E82)-MONTH(G82))</f>
        <v>0</v>
      </c>
    </row>
    <row r="83" customFormat="false" ht="15" hidden="false" customHeight="false" outlineLevel="0" collapsed="false">
      <c r="A83" s="4" t="n">
        <v>5086</v>
      </c>
      <c r="B83" s="4" t="s">
        <v>63</v>
      </c>
      <c r="C83" s="4" t="s">
        <v>64</v>
      </c>
      <c r="D83" s="4" t="s">
        <v>18</v>
      </c>
      <c r="E83" s="5" t="n">
        <v>45410</v>
      </c>
      <c r="F83" s="6" t="n">
        <v>73.67</v>
      </c>
      <c r="G83" s="7" t="n">
        <f aca="false">DATE(YEAR(_xlfn.MINIFS($E$5:$E$281,$B$5:$B$281,B83)),MONTH(_xlfn.MINIFS($E$5:$E$281,$B$5:$B$281,B83)),1)</f>
        <v>45352</v>
      </c>
      <c r="H83" s="4" t="n">
        <f aca="false">(YEAR(E83)-YEAR(G83))*12+(MONTH(E83)-MONTH(G83))</f>
        <v>1</v>
      </c>
    </row>
    <row r="84" customFormat="false" ht="15" hidden="false" customHeight="false" outlineLevel="0" collapsed="false">
      <c r="A84" s="4" t="n">
        <v>5153</v>
      </c>
      <c r="B84" s="4" t="s">
        <v>69</v>
      </c>
      <c r="C84" s="4" t="s">
        <v>70</v>
      </c>
      <c r="D84" s="4" t="s">
        <v>15</v>
      </c>
      <c r="E84" s="5" t="n">
        <v>45412</v>
      </c>
      <c r="F84" s="6" t="n">
        <v>116.79</v>
      </c>
      <c r="G84" s="7" t="n">
        <f aca="false">DATE(YEAR(_xlfn.MINIFS($E$5:$E$281,$B$5:$B$281,B84)),MONTH(_xlfn.MINIFS($E$5:$E$281,$B$5:$B$281,B84)),1)</f>
        <v>45383</v>
      </c>
      <c r="H84" s="4" t="n">
        <f aca="false">(YEAR(E84)-YEAR(G84))*12+(MONTH(E84)-MONTH(G84))</f>
        <v>0</v>
      </c>
    </row>
    <row r="85" customFormat="false" ht="15" hidden="false" customHeight="false" outlineLevel="0" collapsed="false">
      <c r="A85" s="4" t="n">
        <v>5170</v>
      </c>
      <c r="B85" s="4" t="s">
        <v>81</v>
      </c>
      <c r="C85" s="4" t="s">
        <v>82</v>
      </c>
      <c r="D85" s="4" t="s">
        <v>12</v>
      </c>
      <c r="E85" s="5" t="n">
        <v>45413</v>
      </c>
      <c r="F85" s="6" t="n">
        <v>112.33</v>
      </c>
      <c r="G85" s="7" t="n">
        <f aca="false">DATE(YEAR(_xlfn.MINIFS($E$5:$E$281,$B$5:$B$281,B85)),MONTH(_xlfn.MINIFS($E$5:$E$281,$B$5:$B$281,B85)),1)</f>
        <v>45383</v>
      </c>
      <c r="H85" s="4" t="n">
        <f aca="false">(YEAR(E85)-YEAR(G85))*12+(MONTH(E85)-MONTH(G85))</f>
        <v>1</v>
      </c>
    </row>
    <row r="86" customFormat="false" ht="15" hidden="false" customHeight="false" outlineLevel="0" collapsed="false">
      <c r="A86" s="4" t="n">
        <v>5045</v>
      </c>
      <c r="B86" s="4" t="s">
        <v>83</v>
      </c>
      <c r="C86" s="4" t="s">
        <v>84</v>
      </c>
      <c r="D86" s="4" t="s">
        <v>24</v>
      </c>
      <c r="E86" s="5" t="n">
        <v>45414</v>
      </c>
      <c r="F86" s="6" t="n">
        <v>184.1</v>
      </c>
      <c r="G86" s="7" t="n">
        <f aca="false">DATE(YEAR(_xlfn.MINIFS($E$5:$E$281,$B$5:$B$281,B86)),MONTH(_xlfn.MINIFS($E$5:$E$281,$B$5:$B$281,B86)),1)</f>
        <v>45413</v>
      </c>
      <c r="H86" s="4" t="n">
        <f aca="false">(YEAR(E86)-YEAR(G86))*12+(MONTH(E86)-MONTH(G86))</f>
        <v>0</v>
      </c>
    </row>
    <row r="87" customFormat="false" ht="15" hidden="false" customHeight="false" outlineLevel="0" collapsed="false">
      <c r="A87" s="4" t="n">
        <v>5256</v>
      </c>
      <c r="B87" s="4" t="s">
        <v>47</v>
      </c>
      <c r="C87" s="4" t="s">
        <v>48</v>
      </c>
      <c r="D87" s="4" t="s">
        <v>15</v>
      </c>
      <c r="E87" s="5" t="n">
        <v>45414</v>
      </c>
      <c r="F87" s="6" t="n">
        <v>218.78</v>
      </c>
      <c r="G87" s="7" t="n">
        <f aca="false">DATE(YEAR(_xlfn.MINIFS($E$5:$E$281,$B$5:$B$281,B87)),MONTH(_xlfn.MINIFS($E$5:$E$281,$B$5:$B$281,B87)),1)</f>
        <v>45323</v>
      </c>
      <c r="H87" s="4" t="n">
        <f aca="false">(YEAR(E87)-YEAR(G87))*12+(MONTH(E87)-MONTH(G87))</f>
        <v>3</v>
      </c>
    </row>
    <row r="88" customFormat="false" ht="15" hidden="false" customHeight="false" outlineLevel="0" collapsed="false">
      <c r="A88" s="4" t="n">
        <v>5065</v>
      </c>
      <c r="B88" s="4" t="s">
        <v>85</v>
      </c>
      <c r="C88" s="4" t="s">
        <v>86</v>
      </c>
      <c r="D88" s="4" t="s">
        <v>15</v>
      </c>
      <c r="E88" s="5" t="n">
        <v>45415</v>
      </c>
      <c r="F88" s="6" t="n">
        <v>206.93</v>
      </c>
      <c r="G88" s="7" t="n">
        <f aca="false">DATE(YEAR(_xlfn.MINIFS($E$5:$E$281,$B$5:$B$281,B88)),MONTH(_xlfn.MINIFS($E$5:$E$281,$B$5:$B$281,B88)),1)</f>
        <v>45413</v>
      </c>
      <c r="H88" s="4" t="n">
        <f aca="false">(YEAR(E88)-YEAR(G88))*12+(MONTH(E88)-MONTH(G88))</f>
        <v>0</v>
      </c>
    </row>
    <row r="89" customFormat="false" ht="15" hidden="false" customHeight="false" outlineLevel="0" collapsed="false">
      <c r="A89" s="4" t="n">
        <v>5087</v>
      </c>
      <c r="B89" s="4" t="s">
        <v>63</v>
      </c>
      <c r="C89" s="4" t="s">
        <v>64</v>
      </c>
      <c r="D89" s="4" t="s">
        <v>18</v>
      </c>
      <c r="E89" s="5" t="n">
        <v>45417</v>
      </c>
      <c r="F89" s="6" t="n">
        <v>50.01</v>
      </c>
      <c r="G89" s="7" t="n">
        <f aca="false">DATE(YEAR(_xlfn.MINIFS($E$5:$E$281,$B$5:$B$281,B89)),MONTH(_xlfn.MINIFS($E$5:$E$281,$B$5:$B$281,B89)),1)</f>
        <v>45352</v>
      </c>
      <c r="H89" s="4" t="n">
        <f aca="false">(YEAR(E89)-YEAR(G89))*12+(MONTH(E89)-MONTH(G89))</f>
        <v>2</v>
      </c>
    </row>
    <row r="90" customFormat="false" ht="15" hidden="false" customHeight="false" outlineLevel="0" collapsed="false">
      <c r="A90" s="4" t="n">
        <v>5166</v>
      </c>
      <c r="B90" s="4" t="s">
        <v>71</v>
      </c>
      <c r="C90" s="4" t="s">
        <v>72</v>
      </c>
      <c r="D90" s="4" t="s">
        <v>24</v>
      </c>
      <c r="E90" s="5" t="n">
        <v>45418</v>
      </c>
      <c r="F90" s="6" t="n">
        <v>65.29</v>
      </c>
      <c r="G90" s="7" t="n">
        <f aca="false">DATE(YEAR(_xlfn.MINIFS($E$5:$E$281,$B$5:$B$281,B90)),MONTH(_xlfn.MINIFS($E$5:$E$281,$B$5:$B$281,B90)),1)</f>
        <v>45383</v>
      </c>
      <c r="H90" s="4" t="n">
        <f aca="false">(YEAR(E90)-YEAR(G90))*12+(MONTH(E90)-MONTH(G90))</f>
        <v>1</v>
      </c>
    </row>
    <row r="91" customFormat="false" ht="15" hidden="false" customHeight="false" outlineLevel="0" collapsed="false">
      <c r="A91" s="4" t="n">
        <v>5156</v>
      </c>
      <c r="B91" s="4" t="s">
        <v>69</v>
      </c>
      <c r="C91" s="4" t="s">
        <v>70</v>
      </c>
      <c r="D91" s="4" t="s">
        <v>15</v>
      </c>
      <c r="E91" s="5" t="n">
        <v>45420</v>
      </c>
      <c r="F91" s="6" t="n">
        <v>82.2</v>
      </c>
      <c r="G91" s="7" t="n">
        <f aca="false">DATE(YEAR(_xlfn.MINIFS($E$5:$E$281,$B$5:$B$281,B91)),MONTH(_xlfn.MINIFS($E$5:$E$281,$B$5:$B$281,B91)),1)</f>
        <v>45383</v>
      </c>
      <c r="H91" s="4" t="n">
        <f aca="false">(YEAR(E91)-YEAR(G91))*12+(MONTH(E91)-MONTH(G91))</f>
        <v>1</v>
      </c>
    </row>
    <row r="92" customFormat="false" ht="15" hidden="false" customHeight="false" outlineLevel="0" collapsed="false">
      <c r="A92" s="4" t="n">
        <v>5231</v>
      </c>
      <c r="B92" s="4" t="s">
        <v>87</v>
      </c>
      <c r="C92" s="4" t="s">
        <v>88</v>
      </c>
      <c r="D92" s="4" t="s">
        <v>18</v>
      </c>
      <c r="E92" s="5" t="n">
        <v>45421</v>
      </c>
      <c r="F92" s="6" t="n">
        <v>218.56</v>
      </c>
      <c r="G92" s="7" t="n">
        <f aca="false">DATE(YEAR(_xlfn.MINIFS($E$5:$E$281,$B$5:$B$281,B92)),MONTH(_xlfn.MINIFS($E$5:$E$281,$B$5:$B$281,B92)),1)</f>
        <v>45413</v>
      </c>
      <c r="H92" s="4" t="n">
        <f aca="false">(YEAR(E92)-YEAR(G92))*12+(MONTH(E92)-MONTH(G92))</f>
        <v>0</v>
      </c>
    </row>
    <row r="93" customFormat="false" ht="15" hidden="false" customHeight="false" outlineLevel="0" collapsed="false">
      <c r="A93" s="4" t="n">
        <v>5009</v>
      </c>
      <c r="B93" s="4" t="s">
        <v>29</v>
      </c>
      <c r="C93" s="4" t="s">
        <v>30</v>
      </c>
      <c r="D93" s="4" t="s">
        <v>15</v>
      </c>
      <c r="E93" s="5" t="n">
        <v>45421</v>
      </c>
      <c r="F93" s="6" t="n">
        <v>70.74</v>
      </c>
      <c r="G93" s="7" t="n">
        <f aca="false">DATE(YEAR(_xlfn.MINIFS($E$5:$E$281,$B$5:$B$281,B93)),MONTH(_xlfn.MINIFS($E$5:$E$281,$B$5:$B$281,B93)),1)</f>
        <v>45292</v>
      </c>
      <c r="H93" s="4" t="n">
        <f aca="false">(YEAR(E93)-YEAR(G93))*12+(MONTH(E93)-MONTH(G93))</f>
        <v>4</v>
      </c>
    </row>
    <row r="94" customFormat="false" ht="15" hidden="false" customHeight="false" outlineLevel="0" collapsed="false">
      <c r="A94" s="4" t="n">
        <v>5089</v>
      </c>
      <c r="B94" s="4" t="s">
        <v>63</v>
      </c>
      <c r="C94" s="4" t="s">
        <v>64</v>
      </c>
      <c r="D94" s="4" t="s">
        <v>18</v>
      </c>
      <c r="E94" s="5" t="n">
        <v>45422</v>
      </c>
      <c r="F94" s="6" t="n">
        <v>67.43</v>
      </c>
      <c r="G94" s="7" t="n">
        <f aca="false">DATE(YEAR(_xlfn.MINIFS($E$5:$E$281,$B$5:$B$281,B94)),MONTH(_xlfn.MINIFS($E$5:$E$281,$B$5:$B$281,B94)),1)</f>
        <v>45352</v>
      </c>
      <c r="H94" s="4" t="n">
        <f aca="false">(YEAR(E94)-YEAR(G94))*12+(MONTH(E94)-MONTH(G94))</f>
        <v>2</v>
      </c>
    </row>
    <row r="95" customFormat="false" ht="15" hidden="false" customHeight="false" outlineLevel="0" collapsed="false">
      <c r="A95" s="4" t="n">
        <v>5135</v>
      </c>
      <c r="B95" s="4" t="s">
        <v>89</v>
      </c>
      <c r="C95" s="4" t="s">
        <v>90</v>
      </c>
      <c r="D95" s="4" t="s">
        <v>15</v>
      </c>
      <c r="E95" s="5" t="n">
        <v>45423</v>
      </c>
      <c r="F95" s="6" t="n">
        <v>105.7</v>
      </c>
      <c r="G95" s="7" t="n">
        <f aca="false">DATE(YEAR(_xlfn.MINIFS($E$5:$E$281,$B$5:$B$281,B95)),MONTH(_xlfn.MINIFS($E$5:$E$281,$B$5:$B$281,B95)),1)</f>
        <v>45413</v>
      </c>
      <c r="H95" s="4" t="n">
        <f aca="false">(YEAR(E95)-YEAR(G95))*12+(MONTH(E95)-MONTH(G95))</f>
        <v>0</v>
      </c>
    </row>
    <row r="96" customFormat="false" ht="15" hidden="false" customHeight="false" outlineLevel="0" collapsed="false">
      <c r="A96" s="4" t="n">
        <v>5088</v>
      </c>
      <c r="B96" s="4" t="s">
        <v>63</v>
      </c>
      <c r="C96" s="4" t="s">
        <v>64</v>
      </c>
      <c r="D96" s="4" t="s">
        <v>18</v>
      </c>
      <c r="E96" s="5" t="n">
        <v>45426</v>
      </c>
      <c r="F96" s="6" t="n">
        <v>85.45</v>
      </c>
      <c r="G96" s="7" t="n">
        <f aca="false">DATE(YEAR(_xlfn.MINIFS($E$5:$E$281,$B$5:$B$281,B96)),MONTH(_xlfn.MINIFS($E$5:$E$281,$B$5:$B$281,B96)),1)</f>
        <v>45352</v>
      </c>
      <c r="H96" s="4" t="n">
        <f aca="false">(YEAR(E96)-YEAR(G96))*12+(MONTH(E96)-MONTH(G96))</f>
        <v>2</v>
      </c>
    </row>
    <row r="97" customFormat="false" ht="15" hidden="false" customHeight="false" outlineLevel="0" collapsed="false">
      <c r="A97" s="4" t="n">
        <v>5083</v>
      </c>
      <c r="B97" s="4" t="s">
        <v>91</v>
      </c>
      <c r="C97" s="4" t="s">
        <v>92</v>
      </c>
      <c r="D97" s="4" t="s">
        <v>15</v>
      </c>
      <c r="E97" s="5" t="n">
        <v>45433</v>
      </c>
      <c r="F97" s="6" t="n">
        <v>97.01</v>
      </c>
      <c r="G97" s="7" t="n">
        <f aca="false">DATE(YEAR(_xlfn.MINIFS($E$5:$E$281,$B$5:$B$281,B97)),MONTH(_xlfn.MINIFS($E$5:$E$281,$B$5:$B$281,B97)),1)</f>
        <v>45413</v>
      </c>
      <c r="H97" s="4" t="n">
        <f aca="false">(YEAR(E97)-YEAR(G97))*12+(MONTH(E97)-MONTH(G97))</f>
        <v>0</v>
      </c>
    </row>
    <row r="98" customFormat="false" ht="15" hidden="false" customHeight="false" outlineLevel="0" collapsed="false">
      <c r="A98" s="4" t="n">
        <v>5232</v>
      </c>
      <c r="B98" s="4" t="s">
        <v>87</v>
      </c>
      <c r="C98" s="4" t="s">
        <v>88</v>
      </c>
      <c r="D98" s="4" t="s">
        <v>18</v>
      </c>
      <c r="E98" s="5" t="n">
        <v>45433</v>
      </c>
      <c r="F98" s="6" t="n">
        <v>190.6</v>
      </c>
      <c r="G98" s="7" t="n">
        <f aca="false">DATE(YEAR(_xlfn.MINIFS($E$5:$E$281,$B$5:$B$281,B98)),MONTH(_xlfn.MINIFS($E$5:$E$281,$B$5:$B$281,B98)),1)</f>
        <v>45413</v>
      </c>
      <c r="H98" s="4" t="n">
        <f aca="false">(YEAR(E98)-YEAR(G98))*12+(MONTH(E98)-MONTH(G98))</f>
        <v>0</v>
      </c>
    </row>
    <row r="99" customFormat="false" ht="15" hidden="false" customHeight="false" outlineLevel="0" collapsed="false">
      <c r="A99" s="4" t="n">
        <v>5240</v>
      </c>
      <c r="B99" s="4" t="s">
        <v>73</v>
      </c>
      <c r="C99" s="4" t="s">
        <v>74</v>
      </c>
      <c r="D99" s="4" t="s">
        <v>12</v>
      </c>
      <c r="E99" s="5" t="n">
        <v>45433</v>
      </c>
      <c r="F99" s="6" t="n">
        <v>24.34</v>
      </c>
      <c r="G99" s="7" t="n">
        <f aca="false">DATE(YEAR(_xlfn.MINIFS($E$5:$E$281,$B$5:$B$281,B99)),MONTH(_xlfn.MINIFS($E$5:$E$281,$B$5:$B$281,B99)),1)</f>
        <v>45383</v>
      </c>
      <c r="H99" s="4" t="n">
        <f aca="false">(YEAR(E99)-YEAR(G99))*12+(MONTH(E99)-MONTH(G99))</f>
        <v>1</v>
      </c>
    </row>
    <row r="100" customFormat="false" ht="15" hidden="false" customHeight="false" outlineLevel="0" collapsed="false">
      <c r="A100" s="4" t="n">
        <v>5129</v>
      </c>
      <c r="B100" s="4" t="s">
        <v>65</v>
      </c>
      <c r="C100" s="4" t="s">
        <v>66</v>
      </c>
      <c r="D100" s="4" t="s">
        <v>21</v>
      </c>
      <c r="E100" s="5" t="n">
        <v>45434</v>
      </c>
      <c r="F100" s="6" t="n">
        <v>26.57</v>
      </c>
      <c r="G100" s="7" t="n">
        <f aca="false">DATE(YEAR(_xlfn.MINIFS($E$5:$E$281,$B$5:$B$281,B100)),MONTH(_xlfn.MINIFS($E$5:$E$281,$B$5:$B$281,B100)),1)</f>
        <v>45352</v>
      </c>
      <c r="H100" s="4" t="n">
        <f aca="false">(YEAR(E100)-YEAR(G100))*12+(MONTH(E100)-MONTH(G100))</f>
        <v>2</v>
      </c>
    </row>
    <row r="101" customFormat="false" ht="15" hidden="false" customHeight="false" outlineLevel="0" collapsed="false">
      <c r="A101" s="4" t="n">
        <v>5058</v>
      </c>
      <c r="B101" s="4" t="s">
        <v>43</v>
      </c>
      <c r="C101" s="4" t="s">
        <v>44</v>
      </c>
      <c r="D101" s="4" t="s">
        <v>15</v>
      </c>
      <c r="E101" s="5" t="n">
        <v>45434</v>
      </c>
      <c r="F101" s="6" t="n">
        <v>73.9</v>
      </c>
      <c r="G101" s="7" t="n">
        <f aca="false">DATE(YEAR(_xlfn.MINIFS($E$5:$E$281,$B$5:$B$281,B101)),MONTH(_xlfn.MINIFS($E$5:$E$281,$B$5:$B$281,B101)),1)</f>
        <v>45323</v>
      </c>
      <c r="H101" s="4" t="n">
        <f aca="false">(YEAR(E101)-YEAR(G101))*12+(MONTH(E101)-MONTH(G101))</f>
        <v>3</v>
      </c>
    </row>
    <row r="102" customFormat="false" ht="15" hidden="false" customHeight="false" outlineLevel="0" collapsed="false">
      <c r="A102" s="4" t="n">
        <v>5199</v>
      </c>
      <c r="B102" s="4" t="s">
        <v>93</v>
      </c>
      <c r="C102" s="4" t="s">
        <v>94</v>
      </c>
      <c r="D102" s="4" t="s">
        <v>24</v>
      </c>
      <c r="E102" s="5" t="n">
        <v>45435</v>
      </c>
      <c r="F102" s="6" t="n">
        <v>142.17</v>
      </c>
      <c r="G102" s="7" t="n">
        <f aca="false">DATE(YEAR(_xlfn.MINIFS($E$5:$E$281,$B$5:$B$281,B102)),MONTH(_xlfn.MINIFS($E$5:$E$281,$B$5:$B$281,B102)),1)</f>
        <v>45413</v>
      </c>
      <c r="H102" s="4" t="n">
        <f aca="false">(YEAR(E102)-YEAR(G102))*12+(MONTH(E102)-MONTH(G102))</f>
        <v>0</v>
      </c>
    </row>
    <row r="103" customFormat="false" ht="15" hidden="false" customHeight="false" outlineLevel="0" collapsed="false">
      <c r="A103" s="4" t="n">
        <v>5155</v>
      </c>
      <c r="B103" s="4" t="s">
        <v>69</v>
      </c>
      <c r="C103" s="4" t="s">
        <v>70</v>
      </c>
      <c r="D103" s="4" t="s">
        <v>15</v>
      </c>
      <c r="E103" s="5" t="n">
        <v>45437</v>
      </c>
      <c r="F103" s="6" t="n">
        <v>46.02</v>
      </c>
      <c r="G103" s="7" t="n">
        <f aca="false">DATE(YEAR(_xlfn.MINIFS($E$5:$E$281,$B$5:$B$281,B103)),MONTH(_xlfn.MINIFS($E$5:$E$281,$B$5:$B$281,B103)),1)</f>
        <v>45383</v>
      </c>
      <c r="H103" s="4" t="n">
        <f aca="false">(YEAR(E103)-YEAR(G103))*12+(MONTH(E103)-MONTH(G103))</f>
        <v>1</v>
      </c>
    </row>
    <row r="104" customFormat="false" ht="15" hidden="false" customHeight="false" outlineLevel="0" collapsed="false">
      <c r="A104" s="4" t="n">
        <v>5007</v>
      </c>
      <c r="B104" s="4" t="s">
        <v>29</v>
      </c>
      <c r="C104" s="4" t="s">
        <v>30</v>
      </c>
      <c r="D104" s="4" t="s">
        <v>15</v>
      </c>
      <c r="E104" s="5" t="n">
        <v>45438</v>
      </c>
      <c r="F104" s="6" t="n">
        <v>61.85</v>
      </c>
      <c r="G104" s="7" t="n">
        <f aca="false">DATE(YEAR(_xlfn.MINIFS($E$5:$E$281,$B$5:$B$281,B104)),MONTH(_xlfn.MINIFS($E$5:$E$281,$B$5:$B$281,B104)),1)</f>
        <v>45292</v>
      </c>
      <c r="H104" s="4" t="n">
        <f aca="false">(YEAR(E104)-YEAR(G104))*12+(MONTH(E104)-MONTH(G104))</f>
        <v>4</v>
      </c>
    </row>
    <row r="105" customFormat="false" ht="15" hidden="false" customHeight="false" outlineLevel="0" collapsed="false">
      <c r="A105" s="4" t="n">
        <v>5134</v>
      </c>
      <c r="B105" s="4" t="s">
        <v>89</v>
      </c>
      <c r="C105" s="4" t="s">
        <v>90</v>
      </c>
      <c r="D105" s="4" t="s">
        <v>15</v>
      </c>
      <c r="E105" s="5" t="n">
        <v>45439</v>
      </c>
      <c r="F105" s="6" t="n">
        <v>91.65</v>
      </c>
      <c r="G105" s="7" t="n">
        <f aca="false">DATE(YEAR(_xlfn.MINIFS($E$5:$E$281,$B$5:$B$281,B105)),MONTH(_xlfn.MINIFS($E$5:$E$281,$B$5:$B$281,B105)),1)</f>
        <v>45413</v>
      </c>
      <c r="H105" s="4" t="n">
        <f aca="false">(YEAR(E105)-YEAR(G105))*12+(MONTH(E105)-MONTH(G105))</f>
        <v>0</v>
      </c>
    </row>
    <row r="106" customFormat="false" ht="15" hidden="false" customHeight="false" outlineLevel="0" collapsed="false">
      <c r="A106" s="4" t="n">
        <v>5186</v>
      </c>
      <c r="B106" s="4" t="s">
        <v>57</v>
      </c>
      <c r="C106" s="4" t="s">
        <v>58</v>
      </c>
      <c r="D106" s="4" t="s">
        <v>21</v>
      </c>
      <c r="E106" s="5" t="n">
        <v>45440</v>
      </c>
      <c r="F106" s="6" t="n">
        <v>172.17</v>
      </c>
      <c r="G106" s="7" t="n">
        <f aca="false">DATE(YEAR(_xlfn.MINIFS($E$5:$E$281,$B$5:$B$281,B106)),MONTH(_xlfn.MINIFS($E$5:$E$281,$B$5:$B$281,B106)),1)</f>
        <v>45352</v>
      </c>
      <c r="H106" s="4" t="n">
        <f aca="false">(YEAR(E106)-YEAR(G106))*12+(MONTH(E106)-MONTH(G106))</f>
        <v>2</v>
      </c>
    </row>
    <row r="107" customFormat="false" ht="15" hidden="false" customHeight="false" outlineLevel="0" collapsed="false">
      <c r="A107" s="4" t="n">
        <v>5008</v>
      </c>
      <c r="B107" s="4" t="s">
        <v>29</v>
      </c>
      <c r="C107" s="4" t="s">
        <v>30</v>
      </c>
      <c r="D107" s="4" t="s">
        <v>15</v>
      </c>
      <c r="E107" s="5" t="n">
        <v>45441</v>
      </c>
      <c r="F107" s="6" t="n">
        <v>36.48</v>
      </c>
      <c r="G107" s="7" t="n">
        <f aca="false">DATE(YEAR(_xlfn.MINIFS($E$5:$E$281,$B$5:$B$281,B107)),MONTH(_xlfn.MINIFS($E$5:$E$281,$B$5:$B$281,B107)),1)</f>
        <v>45292</v>
      </c>
      <c r="H107" s="4" t="n">
        <f aca="false">(YEAR(E107)-YEAR(G107))*12+(MONTH(E107)-MONTH(G107))</f>
        <v>4</v>
      </c>
    </row>
    <row r="108" customFormat="false" ht="15" hidden="false" customHeight="false" outlineLevel="0" collapsed="false">
      <c r="A108" s="4" t="n">
        <v>5084</v>
      </c>
      <c r="B108" s="4" t="s">
        <v>91</v>
      </c>
      <c r="C108" s="4" t="s">
        <v>92</v>
      </c>
      <c r="D108" s="4" t="s">
        <v>15</v>
      </c>
      <c r="E108" s="5" t="n">
        <v>45441</v>
      </c>
      <c r="F108" s="6" t="n">
        <v>207.84</v>
      </c>
      <c r="G108" s="7" t="n">
        <f aca="false">DATE(YEAR(_xlfn.MINIFS($E$5:$E$281,$B$5:$B$281,B108)),MONTH(_xlfn.MINIFS($E$5:$E$281,$B$5:$B$281,B108)),1)</f>
        <v>45413</v>
      </c>
      <c r="H108" s="4" t="n">
        <f aca="false">(YEAR(E108)-YEAR(G108))*12+(MONTH(E108)-MONTH(G108))</f>
        <v>0</v>
      </c>
    </row>
    <row r="109" customFormat="false" ht="15" hidden="false" customHeight="false" outlineLevel="0" collapsed="false">
      <c r="A109" s="4" t="n">
        <v>5025</v>
      </c>
      <c r="B109" s="4" t="s">
        <v>25</v>
      </c>
      <c r="C109" s="4" t="s">
        <v>26</v>
      </c>
      <c r="D109" s="4" t="s">
        <v>18</v>
      </c>
      <c r="E109" s="5" t="n">
        <v>45442</v>
      </c>
      <c r="F109" s="6" t="n">
        <v>106.65</v>
      </c>
      <c r="G109" s="7" t="n">
        <f aca="false">DATE(YEAR(_xlfn.MINIFS($E$5:$E$281,$B$5:$B$281,B109)),MONTH(_xlfn.MINIFS($E$5:$E$281,$B$5:$B$281,B109)),1)</f>
        <v>45292</v>
      </c>
      <c r="H109" s="4" t="n">
        <f aca="false">(YEAR(E109)-YEAR(G109))*12+(MONTH(E109)-MONTH(G109))</f>
        <v>4</v>
      </c>
    </row>
    <row r="110" customFormat="false" ht="15" hidden="false" customHeight="false" outlineLevel="0" collapsed="false">
      <c r="A110" s="4" t="n">
        <v>5052</v>
      </c>
      <c r="B110" s="4" t="s">
        <v>95</v>
      </c>
      <c r="C110" s="4" t="s">
        <v>96</v>
      </c>
      <c r="D110" s="4" t="s">
        <v>24</v>
      </c>
      <c r="E110" s="5" t="n">
        <v>45444</v>
      </c>
      <c r="F110" s="6" t="n">
        <v>143.38</v>
      </c>
      <c r="G110" s="7" t="n">
        <f aca="false">DATE(YEAR(_xlfn.MINIFS($E$5:$E$281,$B$5:$B$281,B110)),MONTH(_xlfn.MINIFS($E$5:$E$281,$B$5:$B$281,B110)),1)</f>
        <v>45444</v>
      </c>
      <c r="H110" s="4" t="n">
        <f aca="false">(YEAR(E110)-YEAR(G110))*12+(MONTH(E110)-MONTH(G110))</f>
        <v>0</v>
      </c>
    </row>
    <row r="111" customFormat="false" ht="15" hidden="false" customHeight="false" outlineLevel="0" collapsed="false">
      <c r="A111" s="4" t="n">
        <v>5035</v>
      </c>
      <c r="B111" s="4" t="s">
        <v>97</v>
      </c>
      <c r="C111" s="4" t="s">
        <v>98</v>
      </c>
      <c r="D111" s="4" t="s">
        <v>15</v>
      </c>
      <c r="E111" s="5" t="n">
        <v>45445</v>
      </c>
      <c r="F111" s="6" t="n">
        <v>212.96</v>
      </c>
      <c r="G111" s="7" t="n">
        <f aca="false">DATE(YEAR(_xlfn.MINIFS($E$5:$E$281,$B$5:$B$281,B111)),MONTH(_xlfn.MINIFS($E$5:$E$281,$B$5:$B$281,B111)),1)</f>
        <v>45444</v>
      </c>
      <c r="H111" s="4" t="n">
        <f aca="false">(YEAR(E111)-YEAR(G111))*12+(MONTH(E111)-MONTH(G111))</f>
        <v>0</v>
      </c>
    </row>
    <row r="112" customFormat="false" ht="15" hidden="false" customHeight="false" outlineLevel="0" collapsed="false">
      <c r="A112" s="4" t="n">
        <v>5144</v>
      </c>
      <c r="B112" s="4" t="s">
        <v>99</v>
      </c>
      <c r="C112" s="4" t="s">
        <v>100</v>
      </c>
      <c r="D112" s="4" t="s">
        <v>12</v>
      </c>
      <c r="E112" s="5" t="n">
        <v>45446</v>
      </c>
      <c r="F112" s="6" t="n">
        <v>199.2</v>
      </c>
      <c r="G112" s="7" t="n">
        <f aca="false">DATE(YEAR(_xlfn.MINIFS($E$5:$E$281,$B$5:$B$281,B112)),MONTH(_xlfn.MINIFS($E$5:$E$281,$B$5:$B$281,B112)),1)</f>
        <v>45444</v>
      </c>
      <c r="H112" s="4" t="n">
        <f aca="false">(YEAR(E112)-YEAR(G112))*12+(MONTH(E112)-MONTH(G112))</f>
        <v>0</v>
      </c>
    </row>
    <row r="113" customFormat="false" ht="15" hidden="false" customHeight="false" outlineLevel="0" collapsed="false">
      <c r="A113" s="4" t="n">
        <v>5219</v>
      </c>
      <c r="B113" s="4" t="s">
        <v>101</v>
      </c>
      <c r="C113" s="4" t="s">
        <v>102</v>
      </c>
      <c r="D113" s="4" t="s">
        <v>24</v>
      </c>
      <c r="E113" s="5" t="n">
        <v>45446</v>
      </c>
      <c r="F113" s="6" t="n">
        <v>219.21</v>
      </c>
      <c r="G113" s="7" t="n">
        <f aca="false">DATE(YEAR(_xlfn.MINIFS($E$5:$E$281,$B$5:$B$281,B113)),MONTH(_xlfn.MINIFS($E$5:$E$281,$B$5:$B$281,B113)),1)</f>
        <v>45444</v>
      </c>
      <c r="H113" s="4" t="n">
        <f aca="false">(YEAR(E113)-YEAR(G113))*12+(MONTH(E113)-MONTH(G113))</f>
        <v>0</v>
      </c>
    </row>
    <row r="114" customFormat="false" ht="15" hidden="false" customHeight="false" outlineLevel="0" collapsed="false">
      <c r="A114" s="4" t="n">
        <v>5168</v>
      </c>
      <c r="B114" s="4" t="s">
        <v>71</v>
      </c>
      <c r="C114" s="4" t="s">
        <v>72</v>
      </c>
      <c r="D114" s="4" t="s">
        <v>24</v>
      </c>
      <c r="E114" s="5" t="n">
        <v>45446</v>
      </c>
      <c r="F114" s="6" t="n">
        <v>96.19</v>
      </c>
      <c r="G114" s="7" t="n">
        <f aca="false">DATE(YEAR(_xlfn.MINIFS($E$5:$E$281,$B$5:$B$281,B114)),MONTH(_xlfn.MINIFS($E$5:$E$281,$B$5:$B$281,B114)),1)</f>
        <v>45383</v>
      </c>
      <c r="H114" s="4" t="n">
        <f aca="false">(YEAR(E114)-YEAR(G114))*12+(MONTH(E114)-MONTH(G114))</f>
        <v>2</v>
      </c>
    </row>
    <row r="115" customFormat="false" ht="15" hidden="false" customHeight="false" outlineLevel="0" collapsed="false">
      <c r="A115" s="4" t="n">
        <v>5136</v>
      </c>
      <c r="B115" s="4" t="s">
        <v>89</v>
      </c>
      <c r="C115" s="4" t="s">
        <v>90</v>
      </c>
      <c r="D115" s="4" t="s">
        <v>15</v>
      </c>
      <c r="E115" s="5" t="n">
        <v>45446</v>
      </c>
      <c r="F115" s="6" t="n">
        <v>87.05</v>
      </c>
      <c r="G115" s="7" t="n">
        <f aca="false">DATE(YEAR(_xlfn.MINIFS($E$5:$E$281,$B$5:$B$281,B115)),MONTH(_xlfn.MINIFS($E$5:$E$281,$B$5:$B$281,B115)),1)</f>
        <v>45413</v>
      </c>
      <c r="H115" s="4" t="n">
        <f aca="false">(YEAR(E115)-YEAR(G115))*12+(MONTH(E115)-MONTH(G115))</f>
        <v>1</v>
      </c>
    </row>
    <row r="116" customFormat="false" ht="15" hidden="false" customHeight="false" outlineLevel="0" collapsed="false">
      <c r="A116" s="4" t="n">
        <v>5132</v>
      </c>
      <c r="B116" s="4" t="s">
        <v>103</v>
      </c>
      <c r="C116" s="4" t="s">
        <v>104</v>
      </c>
      <c r="D116" s="4" t="s">
        <v>12</v>
      </c>
      <c r="E116" s="5" t="n">
        <v>45447</v>
      </c>
      <c r="F116" s="6" t="n">
        <v>219.49</v>
      </c>
      <c r="G116" s="7" t="n">
        <f aca="false">DATE(YEAR(_xlfn.MINIFS($E$5:$E$281,$B$5:$B$281,B116)),MONTH(_xlfn.MINIFS($E$5:$E$281,$B$5:$B$281,B116)),1)</f>
        <v>45444</v>
      </c>
      <c r="H116" s="4" t="n">
        <f aca="false">(YEAR(E116)-YEAR(G116))*12+(MONTH(E116)-MONTH(G116))</f>
        <v>0</v>
      </c>
    </row>
    <row r="117" customFormat="false" ht="15" hidden="false" customHeight="false" outlineLevel="0" collapsed="false">
      <c r="A117" s="4" t="n">
        <v>5218</v>
      </c>
      <c r="B117" s="4" t="s">
        <v>101</v>
      </c>
      <c r="C117" s="4" t="s">
        <v>102</v>
      </c>
      <c r="D117" s="4" t="s">
        <v>24</v>
      </c>
      <c r="E117" s="5" t="n">
        <v>45448</v>
      </c>
      <c r="F117" s="6" t="n">
        <v>20.3</v>
      </c>
      <c r="G117" s="7" t="n">
        <f aca="false">DATE(YEAR(_xlfn.MINIFS($E$5:$E$281,$B$5:$B$281,B117)),MONTH(_xlfn.MINIFS($E$5:$E$281,$B$5:$B$281,B117)),1)</f>
        <v>45444</v>
      </c>
      <c r="H117" s="4" t="n">
        <f aca="false">(YEAR(E117)-YEAR(G117))*12+(MONTH(E117)-MONTH(G117))</f>
        <v>0</v>
      </c>
    </row>
    <row r="118" customFormat="false" ht="15" hidden="false" customHeight="false" outlineLevel="0" collapsed="false">
      <c r="A118" s="4" t="n">
        <v>5228</v>
      </c>
      <c r="B118" s="4" t="s">
        <v>105</v>
      </c>
      <c r="C118" s="4" t="s">
        <v>106</v>
      </c>
      <c r="D118" s="4" t="s">
        <v>24</v>
      </c>
      <c r="E118" s="5" t="n">
        <v>45449</v>
      </c>
      <c r="F118" s="6" t="n">
        <v>177.39</v>
      </c>
      <c r="G118" s="7" t="n">
        <f aca="false">DATE(YEAR(_xlfn.MINIFS($E$5:$E$281,$B$5:$B$281,B118)),MONTH(_xlfn.MINIFS($E$5:$E$281,$B$5:$B$281,B118)),1)</f>
        <v>45444</v>
      </c>
      <c r="H118" s="4" t="n">
        <f aca="false">(YEAR(E118)-YEAR(G118))*12+(MONTH(E118)-MONTH(G118))</f>
        <v>0</v>
      </c>
    </row>
    <row r="119" customFormat="false" ht="15" hidden="false" customHeight="false" outlineLevel="0" collapsed="false">
      <c r="A119" s="4" t="n">
        <v>5059</v>
      </c>
      <c r="B119" s="4" t="s">
        <v>43</v>
      </c>
      <c r="C119" s="4" t="s">
        <v>44</v>
      </c>
      <c r="D119" s="4" t="s">
        <v>15</v>
      </c>
      <c r="E119" s="5" t="n">
        <v>45450</v>
      </c>
      <c r="F119" s="6" t="n">
        <v>30.88</v>
      </c>
      <c r="G119" s="7" t="n">
        <f aca="false">DATE(YEAR(_xlfn.MINIFS($E$5:$E$281,$B$5:$B$281,B119)),MONTH(_xlfn.MINIFS($E$5:$E$281,$B$5:$B$281,B119)),1)</f>
        <v>45323</v>
      </c>
      <c r="H119" s="4" t="n">
        <f aca="false">(YEAR(E119)-YEAR(G119))*12+(MONTH(E119)-MONTH(G119))</f>
        <v>4</v>
      </c>
    </row>
    <row r="120" customFormat="false" ht="15" hidden="false" customHeight="false" outlineLevel="0" collapsed="false">
      <c r="A120" s="4" t="n">
        <v>5229</v>
      </c>
      <c r="B120" s="4" t="s">
        <v>105</v>
      </c>
      <c r="C120" s="4" t="s">
        <v>106</v>
      </c>
      <c r="D120" s="4" t="s">
        <v>24</v>
      </c>
      <c r="E120" s="5" t="n">
        <v>45452</v>
      </c>
      <c r="F120" s="6" t="n">
        <v>38.59</v>
      </c>
      <c r="G120" s="7" t="n">
        <f aca="false">DATE(YEAR(_xlfn.MINIFS($E$5:$E$281,$B$5:$B$281,B120)),MONTH(_xlfn.MINIFS($E$5:$E$281,$B$5:$B$281,B120)),1)</f>
        <v>45444</v>
      </c>
      <c r="H120" s="4" t="n">
        <f aca="false">(YEAR(E120)-YEAR(G120))*12+(MONTH(E120)-MONTH(G120))</f>
        <v>0</v>
      </c>
    </row>
    <row r="121" customFormat="false" ht="15" hidden="false" customHeight="false" outlineLevel="0" collapsed="false">
      <c r="A121" s="4" t="n">
        <v>5241</v>
      </c>
      <c r="B121" s="4" t="s">
        <v>73</v>
      </c>
      <c r="C121" s="4" t="s">
        <v>74</v>
      </c>
      <c r="D121" s="4" t="s">
        <v>12</v>
      </c>
      <c r="E121" s="5" t="n">
        <v>45453</v>
      </c>
      <c r="F121" s="6" t="n">
        <v>36.8</v>
      </c>
      <c r="G121" s="7" t="n">
        <f aca="false">DATE(YEAR(_xlfn.MINIFS($E$5:$E$281,$B$5:$B$281,B121)),MONTH(_xlfn.MINIFS($E$5:$E$281,$B$5:$B$281,B121)),1)</f>
        <v>45383</v>
      </c>
      <c r="H121" s="4" t="n">
        <f aca="false">(YEAR(E121)-YEAR(G121))*12+(MONTH(E121)-MONTH(G121))</f>
        <v>2</v>
      </c>
    </row>
    <row r="122" customFormat="false" ht="15" hidden="false" customHeight="false" outlineLevel="0" collapsed="false">
      <c r="A122" s="4" t="n">
        <v>5091</v>
      </c>
      <c r="B122" s="4" t="s">
        <v>63</v>
      </c>
      <c r="C122" s="4" t="s">
        <v>64</v>
      </c>
      <c r="D122" s="4" t="s">
        <v>18</v>
      </c>
      <c r="E122" s="5" t="n">
        <v>45453</v>
      </c>
      <c r="F122" s="6" t="n">
        <v>114.05</v>
      </c>
      <c r="G122" s="7" t="n">
        <f aca="false">DATE(YEAR(_xlfn.MINIFS($E$5:$E$281,$B$5:$B$281,B122)),MONTH(_xlfn.MINIFS($E$5:$E$281,$B$5:$B$281,B122)),1)</f>
        <v>45352</v>
      </c>
      <c r="H122" s="4" t="n">
        <f aca="false">(YEAR(E122)-YEAR(G122))*12+(MONTH(E122)-MONTH(G122))</f>
        <v>3</v>
      </c>
    </row>
    <row r="123" customFormat="false" ht="15" hidden="false" customHeight="false" outlineLevel="0" collapsed="false">
      <c r="A123" s="4" t="n">
        <v>5036</v>
      </c>
      <c r="B123" s="4" t="s">
        <v>97</v>
      </c>
      <c r="C123" s="4" t="s">
        <v>98</v>
      </c>
      <c r="D123" s="4" t="s">
        <v>15</v>
      </c>
      <c r="E123" s="5" t="n">
        <v>45453</v>
      </c>
      <c r="F123" s="6" t="n">
        <v>59.66</v>
      </c>
      <c r="G123" s="7" t="n">
        <f aca="false">DATE(YEAR(_xlfn.MINIFS($E$5:$E$281,$B$5:$B$281,B123)),MONTH(_xlfn.MINIFS($E$5:$E$281,$B$5:$B$281,B123)),1)</f>
        <v>45444</v>
      </c>
      <c r="H123" s="4" t="n">
        <f aca="false">(YEAR(E123)-YEAR(G123))*12+(MONTH(E123)-MONTH(G123))</f>
        <v>0</v>
      </c>
    </row>
    <row r="124" customFormat="false" ht="15" hidden="false" customHeight="false" outlineLevel="0" collapsed="false">
      <c r="A124" s="4" t="n">
        <v>5125</v>
      </c>
      <c r="B124" s="4" t="s">
        <v>107</v>
      </c>
      <c r="C124" s="4" t="s">
        <v>108</v>
      </c>
      <c r="D124" s="4" t="s">
        <v>24</v>
      </c>
      <c r="E124" s="5" t="n">
        <v>45453</v>
      </c>
      <c r="F124" s="6" t="n">
        <v>166.52</v>
      </c>
      <c r="G124" s="7" t="n">
        <f aca="false">DATE(YEAR(_xlfn.MINIFS($E$5:$E$281,$B$5:$B$281,B124)),MONTH(_xlfn.MINIFS($E$5:$E$281,$B$5:$B$281,B124)),1)</f>
        <v>45444</v>
      </c>
      <c r="H124" s="4" t="n">
        <f aca="false">(YEAR(E124)-YEAR(G124))*12+(MONTH(E124)-MONTH(G124))</f>
        <v>0</v>
      </c>
    </row>
    <row r="125" customFormat="false" ht="15" hidden="false" customHeight="false" outlineLevel="0" collapsed="false">
      <c r="A125" s="4" t="n">
        <v>5147</v>
      </c>
      <c r="B125" s="4" t="s">
        <v>109</v>
      </c>
      <c r="C125" s="4" t="s">
        <v>110</v>
      </c>
      <c r="D125" s="4" t="s">
        <v>21</v>
      </c>
      <c r="E125" s="5" t="n">
        <v>45454</v>
      </c>
      <c r="F125" s="6" t="n">
        <v>204.47</v>
      </c>
      <c r="G125" s="7" t="n">
        <f aca="false">DATE(YEAR(_xlfn.MINIFS($E$5:$E$281,$B$5:$B$281,B125)),MONTH(_xlfn.MINIFS($E$5:$E$281,$B$5:$B$281,B125)),1)</f>
        <v>45444</v>
      </c>
      <c r="H125" s="4" t="n">
        <f aca="false">(YEAR(E125)-YEAR(G125))*12+(MONTH(E125)-MONTH(G125))</f>
        <v>0</v>
      </c>
    </row>
    <row r="126" customFormat="false" ht="15" hidden="false" customHeight="false" outlineLevel="0" collapsed="false">
      <c r="A126" s="4" t="n">
        <v>5209</v>
      </c>
      <c r="B126" s="4" t="s">
        <v>111</v>
      </c>
      <c r="C126" s="4" t="s">
        <v>112</v>
      </c>
      <c r="D126" s="4" t="s">
        <v>21</v>
      </c>
      <c r="E126" s="5" t="n">
        <v>45455</v>
      </c>
      <c r="F126" s="6" t="n">
        <v>106.59</v>
      </c>
      <c r="G126" s="7" t="n">
        <f aca="false">DATE(YEAR(_xlfn.MINIFS($E$5:$E$281,$B$5:$B$281,B126)),MONTH(_xlfn.MINIFS($E$5:$E$281,$B$5:$B$281,B126)),1)</f>
        <v>45444</v>
      </c>
      <c r="H126" s="4" t="n">
        <f aca="false">(YEAR(E126)-YEAR(G126))*12+(MONTH(E126)-MONTH(G126))</f>
        <v>0</v>
      </c>
    </row>
    <row r="127" customFormat="false" ht="15" hidden="false" customHeight="false" outlineLevel="0" collapsed="false">
      <c r="A127" s="4" t="n">
        <v>5187</v>
      </c>
      <c r="B127" s="4" t="s">
        <v>57</v>
      </c>
      <c r="C127" s="4" t="s">
        <v>58</v>
      </c>
      <c r="D127" s="4" t="s">
        <v>21</v>
      </c>
      <c r="E127" s="5" t="n">
        <v>45456</v>
      </c>
      <c r="F127" s="6" t="n">
        <v>164.25</v>
      </c>
      <c r="G127" s="7" t="n">
        <f aca="false">DATE(YEAR(_xlfn.MINIFS($E$5:$E$281,$B$5:$B$281,B127)),MONTH(_xlfn.MINIFS($E$5:$E$281,$B$5:$B$281,B127)),1)</f>
        <v>45352</v>
      </c>
      <c r="H127" s="4" t="n">
        <f aca="false">(YEAR(E127)-YEAR(G127))*12+(MONTH(E127)-MONTH(G127))</f>
        <v>3</v>
      </c>
    </row>
    <row r="128" customFormat="false" ht="15" hidden="false" customHeight="false" outlineLevel="0" collapsed="false">
      <c r="A128" s="4" t="n">
        <v>5233</v>
      </c>
      <c r="B128" s="4" t="s">
        <v>87</v>
      </c>
      <c r="C128" s="4" t="s">
        <v>88</v>
      </c>
      <c r="D128" s="4" t="s">
        <v>18</v>
      </c>
      <c r="E128" s="5" t="n">
        <v>45456</v>
      </c>
      <c r="F128" s="6" t="n">
        <v>218.05</v>
      </c>
      <c r="G128" s="7" t="n">
        <f aca="false">DATE(YEAR(_xlfn.MINIFS($E$5:$E$281,$B$5:$B$281,B128)),MONTH(_xlfn.MINIFS($E$5:$E$281,$B$5:$B$281,B128)),1)</f>
        <v>45413</v>
      </c>
      <c r="H128" s="4" t="n">
        <f aca="false">(YEAR(E128)-YEAR(G128))*12+(MONTH(E128)-MONTH(G128))</f>
        <v>1</v>
      </c>
    </row>
    <row r="129" customFormat="false" ht="15" hidden="false" customHeight="false" outlineLevel="0" collapsed="false">
      <c r="A129" s="4" t="n">
        <v>5090</v>
      </c>
      <c r="B129" s="4" t="s">
        <v>63</v>
      </c>
      <c r="C129" s="4" t="s">
        <v>64</v>
      </c>
      <c r="D129" s="4" t="s">
        <v>18</v>
      </c>
      <c r="E129" s="5" t="n">
        <v>45456</v>
      </c>
      <c r="F129" s="6" t="n">
        <v>149.48</v>
      </c>
      <c r="G129" s="7" t="n">
        <f aca="false">DATE(YEAR(_xlfn.MINIFS($E$5:$E$281,$B$5:$B$281,B129)),MONTH(_xlfn.MINIFS($E$5:$E$281,$B$5:$B$281,B129)),1)</f>
        <v>45352</v>
      </c>
      <c r="H129" s="4" t="n">
        <f aca="false">(YEAR(E129)-YEAR(G129))*12+(MONTH(E129)-MONTH(G129))</f>
        <v>3</v>
      </c>
    </row>
    <row r="130" customFormat="false" ht="15" hidden="false" customHeight="false" outlineLevel="0" collapsed="false">
      <c r="A130" s="4" t="n">
        <v>5108</v>
      </c>
      <c r="B130" s="4" t="s">
        <v>113</v>
      </c>
      <c r="C130" s="4" t="s">
        <v>114</v>
      </c>
      <c r="D130" s="4" t="s">
        <v>21</v>
      </c>
      <c r="E130" s="5" t="n">
        <v>45458</v>
      </c>
      <c r="F130" s="6" t="n">
        <v>214.31</v>
      </c>
      <c r="G130" s="7" t="n">
        <f aca="false">DATE(YEAR(_xlfn.MINIFS($E$5:$E$281,$B$5:$B$281,B130)),MONTH(_xlfn.MINIFS($E$5:$E$281,$B$5:$B$281,B130)),1)</f>
        <v>45444</v>
      </c>
      <c r="H130" s="4" t="n">
        <f aca="false">(YEAR(E130)-YEAR(G130))*12+(MONTH(E130)-MONTH(G130))</f>
        <v>0</v>
      </c>
    </row>
    <row r="131" customFormat="false" ht="15" hidden="false" customHeight="false" outlineLevel="0" collapsed="false">
      <c r="A131" s="4" t="n">
        <v>5265</v>
      </c>
      <c r="B131" s="4" t="s">
        <v>115</v>
      </c>
      <c r="C131" s="4" t="s">
        <v>116</v>
      </c>
      <c r="D131" s="4" t="s">
        <v>18</v>
      </c>
      <c r="E131" s="5" t="n">
        <v>45460</v>
      </c>
      <c r="F131" s="6" t="n">
        <v>18.12</v>
      </c>
      <c r="G131" s="7" t="n">
        <f aca="false">DATE(YEAR(_xlfn.MINIFS($E$5:$E$281,$B$5:$B$281,B131)),MONTH(_xlfn.MINIFS($E$5:$E$281,$B$5:$B$281,B131)),1)</f>
        <v>45444</v>
      </c>
      <c r="H131" s="4" t="n">
        <f aca="false">(YEAR(E131)-YEAR(G131))*12+(MONTH(E131)-MONTH(G131))</f>
        <v>0</v>
      </c>
    </row>
    <row r="132" customFormat="false" ht="15" hidden="false" customHeight="false" outlineLevel="0" collapsed="false">
      <c r="A132" s="4" t="n">
        <v>5034</v>
      </c>
      <c r="B132" s="4" t="s">
        <v>97</v>
      </c>
      <c r="C132" s="4" t="s">
        <v>98</v>
      </c>
      <c r="D132" s="4" t="s">
        <v>15</v>
      </c>
      <c r="E132" s="5" t="n">
        <v>45461</v>
      </c>
      <c r="F132" s="6" t="n">
        <v>81.32</v>
      </c>
      <c r="G132" s="7" t="n">
        <f aca="false">DATE(YEAR(_xlfn.MINIFS($E$5:$E$281,$B$5:$B$281,B132)),MONTH(_xlfn.MINIFS($E$5:$E$281,$B$5:$B$281,B132)),1)</f>
        <v>45444</v>
      </c>
      <c r="H132" s="4" t="n">
        <f aca="false">(YEAR(E132)-YEAR(G132))*12+(MONTH(E132)-MONTH(G132))</f>
        <v>0</v>
      </c>
    </row>
    <row r="133" customFormat="false" ht="15" hidden="false" customHeight="false" outlineLevel="0" collapsed="false">
      <c r="A133" s="4" t="n">
        <v>5051</v>
      </c>
      <c r="B133" s="4" t="s">
        <v>95</v>
      </c>
      <c r="C133" s="4" t="s">
        <v>96</v>
      </c>
      <c r="D133" s="4" t="s">
        <v>24</v>
      </c>
      <c r="E133" s="5" t="n">
        <v>45461</v>
      </c>
      <c r="F133" s="6" t="n">
        <v>25.41</v>
      </c>
      <c r="G133" s="7" t="n">
        <f aca="false">DATE(YEAR(_xlfn.MINIFS($E$5:$E$281,$B$5:$B$281,B133)),MONTH(_xlfn.MINIFS($E$5:$E$281,$B$5:$B$281,B133)),1)</f>
        <v>45444</v>
      </c>
      <c r="H133" s="4" t="n">
        <f aca="false">(YEAR(E133)-YEAR(G133))*12+(MONTH(E133)-MONTH(G133))</f>
        <v>0</v>
      </c>
    </row>
    <row r="134" customFormat="false" ht="15" hidden="false" customHeight="false" outlineLevel="0" collapsed="false">
      <c r="A134" s="4" t="n">
        <v>5257</v>
      </c>
      <c r="B134" s="4" t="s">
        <v>47</v>
      </c>
      <c r="C134" s="4" t="s">
        <v>48</v>
      </c>
      <c r="D134" s="4" t="s">
        <v>15</v>
      </c>
      <c r="E134" s="5" t="n">
        <v>45461</v>
      </c>
      <c r="F134" s="6" t="n">
        <v>16.3</v>
      </c>
      <c r="G134" s="7" t="n">
        <f aca="false">DATE(YEAR(_xlfn.MINIFS($E$5:$E$281,$B$5:$B$281,B134)),MONTH(_xlfn.MINIFS($E$5:$E$281,$B$5:$B$281,B134)),1)</f>
        <v>45323</v>
      </c>
      <c r="H134" s="4" t="n">
        <f aca="false">(YEAR(E134)-YEAR(G134))*12+(MONTH(E134)-MONTH(G134))</f>
        <v>4</v>
      </c>
    </row>
    <row r="135" customFormat="false" ht="15" hidden="false" customHeight="false" outlineLevel="0" collapsed="false">
      <c r="A135" s="4" t="n">
        <v>5167</v>
      </c>
      <c r="B135" s="4" t="s">
        <v>71</v>
      </c>
      <c r="C135" s="4" t="s">
        <v>72</v>
      </c>
      <c r="D135" s="4" t="s">
        <v>24</v>
      </c>
      <c r="E135" s="5" t="n">
        <v>45462</v>
      </c>
      <c r="F135" s="6" t="n">
        <v>53.59</v>
      </c>
      <c r="G135" s="7" t="n">
        <f aca="false">DATE(YEAR(_xlfn.MINIFS($E$5:$E$281,$B$5:$B$281,B135)),MONTH(_xlfn.MINIFS($E$5:$E$281,$B$5:$B$281,B135)),1)</f>
        <v>45383</v>
      </c>
      <c r="H135" s="4" t="n">
        <f aca="false">(YEAR(E135)-YEAR(G135))*12+(MONTH(E135)-MONTH(G135))</f>
        <v>2</v>
      </c>
    </row>
    <row r="136" customFormat="false" ht="15" hidden="false" customHeight="false" outlineLevel="0" collapsed="false">
      <c r="A136" s="4" t="n">
        <v>5145</v>
      </c>
      <c r="B136" s="4" t="s">
        <v>109</v>
      </c>
      <c r="C136" s="4" t="s">
        <v>110</v>
      </c>
      <c r="D136" s="4" t="s">
        <v>21</v>
      </c>
      <c r="E136" s="5" t="n">
        <v>45463</v>
      </c>
      <c r="F136" s="6" t="n">
        <v>23.94</v>
      </c>
      <c r="G136" s="7" t="n">
        <f aca="false">DATE(YEAR(_xlfn.MINIFS($E$5:$E$281,$B$5:$B$281,B136)),MONTH(_xlfn.MINIFS($E$5:$E$281,$B$5:$B$281,B136)),1)</f>
        <v>45444</v>
      </c>
      <c r="H136" s="4" t="n">
        <f aca="false">(YEAR(E136)-YEAR(G136))*12+(MONTH(E136)-MONTH(G136))</f>
        <v>0</v>
      </c>
    </row>
    <row r="137" customFormat="false" ht="15" hidden="false" customHeight="false" outlineLevel="0" collapsed="false">
      <c r="A137" s="4" t="n">
        <v>5220</v>
      </c>
      <c r="B137" s="4" t="s">
        <v>101</v>
      </c>
      <c r="C137" s="4" t="s">
        <v>102</v>
      </c>
      <c r="D137" s="4" t="s">
        <v>24</v>
      </c>
      <c r="E137" s="5" t="n">
        <v>45467</v>
      </c>
      <c r="F137" s="6" t="n">
        <v>156.97</v>
      </c>
      <c r="G137" s="7" t="n">
        <f aca="false">DATE(YEAR(_xlfn.MINIFS($E$5:$E$281,$B$5:$B$281,B137)),MONTH(_xlfn.MINIFS($E$5:$E$281,$B$5:$B$281,B137)),1)</f>
        <v>45444</v>
      </c>
      <c r="H137" s="4" t="n">
        <f aca="false">(YEAR(E137)-YEAR(G137))*12+(MONTH(E137)-MONTH(G137))</f>
        <v>0</v>
      </c>
    </row>
    <row r="138" customFormat="false" ht="15" hidden="false" customHeight="false" outlineLevel="0" collapsed="false">
      <c r="A138" s="4" t="n">
        <v>5146</v>
      </c>
      <c r="B138" s="4" t="s">
        <v>109</v>
      </c>
      <c r="C138" s="4" t="s">
        <v>110</v>
      </c>
      <c r="D138" s="4" t="s">
        <v>21</v>
      </c>
      <c r="E138" s="5" t="n">
        <v>45467</v>
      </c>
      <c r="F138" s="6" t="n">
        <v>161.91</v>
      </c>
      <c r="G138" s="7" t="n">
        <f aca="false">DATE(YEAR(_xlfn.MINIFS($E$5:$E$281,$B$5:$B$281,B138)),MONTH(_xlfn.MINIFS($E$5:$E$281,$B$5:$B$281,B138)),1)</f>
        <v>45444</v>
      </c>
      <c r="H138" s="4" t="n">
        <f aca="false">(YEAR(E138)-YEAR(G138))*12+(MONTH(E138)-MONTH(G138))</f>
        <v>0</v>
      </c>
    </row>
    <row r="139" customFormat="false" ht="15" hidden="false" customHeight="false" outlineLevel="0" collapsed="false">
      <c r="A139" s="4" t="n">
        <v>5164</v>
      </c>
      <c r="B139" s="4" t="s">
        <v>117</v>
      </c>
      <c r="C139" s="4" t="s">
        <v>118</v>
      </c>
      <c r="D139" s="4" t="s">
        <v>18</v>
      </c>
      <c r="E139" s="5" t="n">
        <v>45468</v>
      </c>
      <c r="F139" s="6" t="n">
        <v>39.84</v>
      </c>
      <c r="G139" s="7" t="n">
        <f aca="false">DATE(YEAR(_xlfn.MINIFS($E$5:$E$281,$B$5:$B$281,B139)),MONTH(_xlfn.MINIFS($E$5:$E$281,$B$5:$B$281,B139)),1)</f>
        <v>45444</v>
      </c>
      <c r="H139" s="4" t="n">
        <f aca="false">(YEAR(E139)-YEAR(G139))*12+(MONTH(E139)-MONTH(G139))</f>
        <v>0</v>
      </c>
    </row>
    <row r="140" customFormat="false" ht="15" hidden="false" customHeight="false" outlineLevel="0" collapsed="false">
      <c r="A140" s="4" t="n">
        <v>5200</v>
      </c>
      <c r="B140" s="4" t="s">
        <v>93</v>
      </c>
      <c r="C140" s="4" t="s">
        <v>94</v>
      </c>
      <c r="D140" s="4" t="s">
        <v>24</v>
      </c>
      <c r="E140" s="5" t="n">
        <v>45469</v>
      </c>
      <c r="F140" s="6" t="n">
        <v>190.6</v>
      </c>
      <c r="G140" s="7" t="n">
        <f aca="false">DATE(YEAR(_xlfn.MINIFS($E$5:$E$281,$B$5:$B$281,B140)),MONTH(_xlfn.MINIFS($E$5:$E$281,$B$5:$B$281,B140)),1)</f>
        <v>45413</v>
      </c>
      <c r="H140" s="4" t="n">
        <f aca="false">(YEAR(E140)-YEAR(G140))*12+(MONTH(E140)-MONTH(G140))</f>
        <v>1</v>
      </c>
    </row>
    <row r="141" customFormat="false" ht="15" hidden="false" customHeight="false" outlineLevel="0" collapsed="false">
      <c r="A141" s="4" t="n">
        <v>5157</v>
      </c>
      <c r="B141" s="4" t="s">
        <v>69</v>
      </c>
      <c r="C141" s="4" t="s">
        <v>70</v>
      </c>
      <c r="D141" s="4" t="s">
        <v>15</v>
      </c>
      <c r="E141" s="5" t="n">
        <v>45469</v>
      </c>
      <c r="F141" s="6" t="n">
        <v>137.12</v>
      </c>
      <c r="G141" s="7" t="n">
        <f aca="false">DATE(YEAR(_xlfn.MINIFS($E$5:$E$281,$B$5:$B$281,B141)),MONTH(_xlfn.MINIFS($E$5:$E$281,$B$5:$B$281,B141)),1)</f>
        <v>45383</v>
      </c>
      <c r="H141" s="4" t="n">
        <f aca="false">(YEAR(E141)-YEAR(G141))*12+(MONTH(E141)-MONTH(G141))</f>
        <v>2</v>
      </c>
    </row>
    <row r="142" customFormat="false" ht="15" hidden="false" customHeight="false" outlineLevel="0" collapsed="false">
      <c r="A142" s="4" t="n">
        <v>5066</v>
      </c>
      <c r="B142" s="4" t="s">
        <v>85</v>
      </c>
      <c r="C142" s="4" t="s">
        <v>86</v>
      </c>
      <c r="D142" s="4" t="s">
        <v>15</v>
      </c>
      <c r="E142" s="5" t="n">
        <v>45470</v>
      </c>
      <c r="F142" s="6" t="n">
        <v>118.86</v>
      </c>
      <c r="G142" s="7" t="n">
        <f aca="false">DATE(YEAR(_xlfn.MINIFS($E$5:$E$281,$B$5:$B$281,B142)),MONTH(_xlfn.MINIFS($E$5:$E$281,$B$5:$B$281,B142)),1)</f>
        <v>45413</v>
      </c>
      <c r="H142" s="4" t="n">
        <f aca="false">(YEAR(E142)-YEAR(G142))*12+(MONTH(E142)-MONTH(G142))</f>
        <v>1</v>
      </c>
    </row>
    <row r="143" customFormat="false" ht="15" hidden="false" customHeight="false" outlineLevel="0" collapsed="false">
      <c r="A143" s="4" t="n">
        <v>5163</v>
      </c>
      <c r="B143" s="4" t="s">
        <v>117</v>
      </c>
      <c r="C143" s="4" t="s">
        <v>118</v>
      </c>
      <c r="D143" s="4" t="s">
        <v>18</v>
      </c>
      <c r="E143" s="5" t="n">
        <v>45471</v>
      </c>
      <c r="F143" s="6" t="n">
        <v>173.64</v>
      </c>
      <c r="G143" s="7" t="n">
        <f aca="false">DATE(YEAR(_xlfn.MINIFS($E$5:$E$281,$B$5:$B$281,B143)),MONTH(_xlfn.MINIFS($E$5:$E$281,$B$5:$B$281,B143)),1)</f>
        <v>45444</v>
      </c>
      <c r="H143" s="4" t="n">
        <f aca="false">(YEAR(E143)-YEAR(G143))*12+(MONTH(E143)-MONTH(G143))</f>
        <v>0</v>
      </c>
    </row>
    <row r="144" customFormat="false" ht="15" hidden="false" customHeight="false" outlineLevel="0" collapsed="false">
      <c r="A144" s="4" t="n">
        <v>5067</v>
      </c>
      <c r="B144" s="4" t="s">
        <v>119</v>
      </c>
      <c r="C144" s="4" t="s">
        <v>120</v>
      </c>
      <c r="D144" s="4" t="s">
        <v>15</v>
      </c>
      <c r="E144" s="5" t="n">
        <v>45473</v>
      </c>
      <c r="F144" s="6" t="n">
        <v>208.85</v>
      </c>
      <c r="G144" s="7" t="n">
        <f aca="false">DATE(YEAR(_xlfn.MINIFS($E$5:$E$281,$B$5:$B$281,B144)),MONTH(_xlfn.MINIFS($E$5:$E$281,$B$5:$B$281,B144)),1)</f>
        <v>45444</v>
      </c>
      <c r="H144" s="4" t="n">
        <f aca="false">(YEAR(E144)-YEAR(G144))*12+(MONTH(E144)-MONTH(G144))</f>
        <v>0</v>
      </c>
    </row>
    <row r="145" customFormat="false" ht="15" hidden="false" customHeight="false" outlineLevel="0" collapsed="false">
      <c r="A145" s="4" t="n">
        <v>5251</v>
      </c>
      <c r="B145" s="4" t="s">
        <v>121</v>
      </c>
      <c r="C145" s="4" t="s">
        <v>122</v>
      </c>
      <c r="D145" s="4" t="s">
        <v>24</v>
      </c>
      <c r="E145" s="5" t="n">
        <v>45474</v>
      </c>
      <c r="F145" s="6" t="n">
        <v>98.23</v>
      </c>
      <c r="G145" s="7" t="n">
        <f aca="false">DATE(YEAR(_xlfn.MINIFS($E$5:$E$281,$B$5:$B$281,B145)),MONTH(_xlfn.MINIFS($E$5:$E$281,$B$5:$B$281,B145)),1)</f>
        <v>45474</v>
      </c>
      <c r="H145" s="4" t="n">
        <f aca="false">(YEAR(E145)-YEAR(G145))*12+(MONTH(E145)-MONTH(G145))</f>
        <v>0</v>
      </c>
    </row>
    <row r="146" customFormat="false" ht="15" hidden="false" customHeight="false" outlineLevel="0" collapsed="false">
      <c r="A146" s="4" t="n">
        <v>5197</v>
      </c>
      <c r="B146" s="4" t="s">
        <v>123</v>
      </c>
      <c r="C146" s="4" t="s">
        <v>124</v>
      </c>
      <c r="D146" s="4" t="s">
        <v>18</v>
      </c>
      <c r="E146" s="5" t="n">
        <v>45475</v>
      </c>
      <c r="F146" s="6" t="n">
        <v>214.99</v>
      </c>
      <c r="G146" s="7" t="n">
        <f aca="false">DATE(YEAR(_xlfn.MINIFS($E$5:$E$281,$B$5:$B$281,B146)),MONTH(_xlfn.MINIFS($E$5:$E$281,$B$5:$B$281,B146)),1)</f>
        <v>45474</v>
      </c>
      <c r="H146" s="4" t="n">
        <f aca="false">(YEAR(E146)-YEAR(G146))*12+(MONTH(E146)-MONTH(G146))</f>
        <v>0</v>
      </c>
    </row>
    <row r="147" customFormat="false" ht="15" hidden="false" customHeight="false" outlineLevel="0" collapsed="false">
      <c r="A147" s="4" t="n">
        <v>5250</v>
      </c>
      <c r="B147" s="4" t="s">
        <v>121</v>
      </c>
      <c r="C147" s="4" t="s">
        <v>122</v>
      </c>
      <c r="D147" s="4" t="s">
        <v>24</v>
      </c>
      <c r="E147" s="5" t="n">
        <v>45475</v>
      </c>
      <c r="F147" s="6" t="n">
        <v>27.61</v>
      </c>
      <c r="G147" s="7" t="n">
        <f aca="false">DATE(YEAR(_xlfn.MINIFS($E$5:$E$281,$B$5:$B$281,B147)),MONTH(_xlfn.MINIFS($E$5:$E$281,$B$5:$B$281,B147)),1)</f>
        <v>45474</v>
      </c>
      <c r="H147" s="4" t="n">
        <f aca="false">(YEAR(E147)-YEAR(G147))*12+(MONTH(E147)-MONTH(G147))</f>
        <v>0</v>
      </c>
    </row>
    <row r="148" customFormat="false" ht="15" hidden="false" customHeight="false" outlineLevel="0" collapsed="false">
      <c r="A148" s="4" t="n">
        <v>5077</v>
      </c>
      <c r="B148" s="4" t="s">
        <v>125</v>
      </c>
      <c r="C148" s="4" t="s">
        <v>126</v>
      </c>
      <c r="D148" s="4" t="s">
        <v>15</v>
      </c>
      <c r="E148" s="5" t="n">
        <v>45476</v>
      </c>
      <c r="F148" s="6" t="n">
        <v>95.54</v>
      </c>
      <c r="G148" s="7" t="n">
        <f aca="false">DATE(YEAR(_xlfn.MINIFS($E$5:$E$281,$B$5:$B$281,B148)),MONTH(_xlfn.MINIFS($E$5:$E$281,$B$5:$B$281,B148)),1)</f>
        <v>45474</v>
      </c>
      <c r="H148" s="4" t="n">
        <f aca="false">(YEAR(E148)-YEAR(G148))*12+(MONTH(E148)-MONTH(G148))</f>
        <v>0</v>
      </c>
    </row>
    <row r="149" customFormat="false" ht="15" hidden="false" customHeight="false" outlineLevel="0" collapsed="false">
      <c r="A149" s="4" t="n">
        <v>5037</v>
      </c>
      <c r="B149" s="4" t="s">
        <v>97</v>
      </c>
      <c r="C149" s="4" t="s">
        <v>98</v>
      </c>
      <c r="D149" s="4" t="s">
        <v>15</v>
      </c>
      <c r="E149" s="5" t="n">
        <v>45476</v>
      </c>
      <c r="F149" s="6" t="n">
        <v>112.3</v>
      </c>
      <c r="G149" s="7" t="n">
        <f aca="false">DATE(YEAR(_xlfn.MINIFS($E$5:$E$281,$B$5:$B$281,B149)),MONTH(_xlfn.MINIFS($E$5:$E$281,$B$5:$B$281,B149)),1)</f>
        <v>45444</v>
      </c>
      <c r="H149" s="4" t="n">
        <f aca="false">(YEAR(E149)-YEAR(G149))*12+(MONTH(E149)-MONTH(G149))</f>
        <v>1</v>
      </c>
    </row>
    <row r="150" customFormat="false" ht="15" hidden="false" customHeight="false" outlineLevel="0" collapsed="false">
      <c r="A150" s="4" t="n">
        <v>5068</v>
      </c>
      <c r="B150" s="4" t="s">
        <v>119</v>
      </c>
      <c r="C150" s="4" t="s">
        <v>120</v>
      </c>
      <c r="D150" s="4" t="s">
        <v>15</v>
      </c>
      <c r="E150" s="5" t="n">
        <v>45478</v>
      </c>
      <c r="F150" s="6" t="n">
        <v>168.23</v>
      </c>
      <c r="G150" s="7" t="n">
        <f aca="false">DATE(YEAR(_xlfn.MINIFS($E$5:$E$281,$B$5:$B$281,B150)),MONTH(_xlfn.MINIFS($E$5:$E$281,$B$5:$B$281,B150)),1)</f>
        <v>45444</v>
      </c>
      <c r="H150" s="4" t="n">
        <f aca="false">(YEAR(E150)-YEAR(G150))*12+(MONTH(E150)-MONTH(G150))</f>
        <v>1</v>
      </c>
    </row>
    <row r="151" customFormat="false" ht="15" hidden="false" customHeight="false" outlineLevel="0" collapsed="false">
      <c r="A151" s="4" t="n">
        <v>5158</v>
      </c>
      <c r="B151" s="4" t="s">
        <v>69</v>
      </c>
      <c r="C151" s="4" t="s">
        <v>70</v>
      </c>
      <c r="D151" s="4" t="s">
        <v>15</v>
      </c>
      <c r="E151" s="5" t="n">
        <v>45479</v>
      </c>
      <c r="F151" s="6" t="n">
        <v>65.7</v>
      </c>
      <c r="G151" s="7" t="n">
        <f aca="false">DATE(YEAR(_xlfn.MINIFS($E$5:$E$281,$B$5:$B$281,B151)),MONTH(_xlfn.MINIFS($E$5:$E$281,$B$5:$B$281,B151)),1)</f>
        <v>45383</v>
      </c>
      <c r="H151" s="4" t="n">
        <f aca="false">(YEAR(E151)-YEAR(G151))*12+(MONTH(E151)-MONTH(G151))</f>
        <v>3</v>
      </c>
    </row>
    <row r="152" customFormat="false" ht="15" hidden="false" customHeight="false" outlineLevel="0" collapsed="false">
      <c r="A152" s="4" t="n">
        <v>5201</v>
      </c>
      <c r="B152" s="4" t="s">
        <v>93</v>
      </c>
      <c r="C152" s="4" t="s">
        <v>94</v>
      </c>
      <c r="D152" s="4" t="s">
        <v>24</v>
      </c>
      <c r="E152" s="5" t="n">
        <v>45480</v>
      </c>
      <c r="F152" s="6" t="n">
        <v>184.98</v>
      </c>
      <c r="G152" s="7" t="n">
        <f aca="false">DATE(YEAR(_xlfn.MINIFS($E$5:$E$281,$B$5:$B$281,B152)),MONTH(_xlfn.MINIFS($E$5:$E$281,$B$5:$B$281,B152)),1)</f>
        <v>45413</v>
      </c>
      <c r="H152" s="4" t="n">
        <f aca="false">(YEAR(E152)-YEAR(G152))*12+(MONTH(E152)-MONTH(G152))</f>
        <v>2</v>
      </c>
    </row>
    <row r="153" customFormat="false" ht="15" hidden="false" customHeight="false" outlineLevel="0" collapsed="false">
      <c r="A153" s="4" t="n">
        <v>5126</v>
      </c>
      <c r="B153" s="4" t="s">
        <v>107</v>
      </c>
      <c r="C153" s="4" t="s">
        <v>108</v>
      </c>
      <c r="D153" s="4" t="s">
        <v>24</v>
      </c>
      <c r="E153" s="5" t="n">
        <v>45480</v>
      </c>
      <c r="F153" s="6" t="n">
        <v>78.9</v>
      </c>
      <c r="G153" s="7" t="n">
        <f aca="false">DATE(YEAR(_xlfn.MINIFS($E$5:$E$281,$B$5:$B$281,B153)),MONTH(_xlfn.MINIFS($E$5:$E$281,$B$5:$B$281,B153)),1)</f>
        <v>45444</v>
      </c>
      <c r="H153" s="4" t="n">
        <f aca="false">(YEAR(E153)-YEAR(G153))*12+(MONTH(E153)-MONTH(G153))</f>
        <v>1</v>
      </c>
    </row>
    <row r="154" customFormat="false" ht="15" hidden="false" customHeight="false" outlineLevel="0" collapsed="false">
      <c r="A154" s="4" t="n">
        <v>5252</v>
      </c>
      <c r="B154" s="4" t="s">
        <v>121</v>
      </c>
      <c r="C154" s="4" t="s">
        <v>122</v>
      </c>
      <c r="D154" s="4" t="s">
        <v>24</v>
      </c>
      <c r="E154" s="5" t="n">
        <v>45481</v>
      </c>
      <c r="F154" s="6" t="n">
        <v>47.64</v>
      </c>
      <c r="G154" s="7" t="n">
        <f aca="false">DATE(YEAR(_xlfn.MINIFS($E$5:$E$281,$B$5:$B$281,B154)),MONTH(_xlfn.MINIFS($E$5:$E$281,$B$5:$B$281,B154)),1)</f>
        <v>45474</v>
      </c>
      <c r="H154" s="4" t="n">
        <f aca="false">(YEAR(E154)-YEAR(G154))*12+(MONTH(E154)-MONTH(G154))</f>
        <v>0</v>
      </c>
    </row>
    <row r="155" customFormat="false" ht="15" hidden="false" customHeight="false" outlineLevel="0" collapsed="false">
      <c r="A155" s="4" t="n">
        <v>5033</v>
      </c>
      <c r="B155" s="4" t="s">
        <v>127</v>
      </c>
      <c r="C155" s="4" t="s">
        <v>128</v>
      </c>
      <c r="D155" s="4" t="s">
        <v>21</v>
      </c>
      <c r="E155" s="5" t="n">
        <v>45482</v>
      </c>
      <c r="F155" s="6" t="n">
        <v>106.39</v>
      </c>
      <c r="G155" s="7" t="n">
        <f aca="false">DATE(YEAR(_xlfn.MINIFS($E$5:$E$281,$B$5:$B$281,B155)),MONTH(_xlfn.MINIFS($E$5:$E$281,$B$5:$B$281,B155)),1)</f>
        <v>45474</v>
      </c>
      <c r="H155" s="4" t="n">
        <f aca="false">(YEAR(E155)-YEAR(G155))*12+(MONTH(E155)-MONTH(G155))</f>
        <v>0</v>
      </c>
    </row>
    <row r="156" customFormat="false" ht="15" hidden="false" customHeight="false" outlineLevel="0" collapsed="false">
      <c r="A156" s="4" t="n">
        <v>5076</v>
      </c>
      <c r="B156" s="4" t="s">
        <v>125</v>
      </c>
      <c r="C156" s="4" t="s">
        <v>126</v>
      </c>
      <c r="D156" s="4" t="s">
        <v>15</v>
      </c>
      <c r="E156" s="5" t="n">
        <v>45483</v>
      </c>
      <c r="F156" s="6" t="n">
        <v>66.91</v>
      </c>
      <c r="G156" s="7" t="n">
        <f aca="false">DATE(YEAR(_xlfn.MINIFS($E$5:$E$281,$B$5:$B$281,B156)),MONTH(_xlfn.MINIFS($E$5:$E$281,$B$5:$B$281,B156)),1)</f>
        <v>45474</v>
      </c>
      <c r="H156" s="4" t="n">
        <f aca="false">(YEAR(E156)-YEAR(G156))*12+(MONTH(E156)-MONTH(G156))</f>
        <v>0</v>
      </c>
    </row>
    <row r="157" customFormat="false" ht="15" hidden="false" customHeight="false" outlineLevel="0" collapsed="false">
      <c r="A157" s="4" t="n">
        <v>5258</v>
      </c>
      <c r="B157" s="4" t="s">
        <v>47</v>
      </c>
      <c r="C157" s="4" t="s">
        <v>48</v>
      </c>
      <c r="D157" s="4" t="s">
        <v>15</v>
      </c>
      <c r="E157" s="5" t="n">
        <v>45488</v>
      </c>
      <c r="F157" s="6" t="n">
        <v>31.5</v>
      </c>
      <c r="G157" s="7" t="n">
        <f aca="false">DATE(YEAR(_xlfn.MINIFS($E$5:$E$281,$B$5:$B$281,B157)),MONTH(_xlfn.MINIFS($E$5:$E$281,$B$5:$B$281,B157)),1)</f>
        <v>45323</v>
      </c>
      <c r="H157" s="4" t="n">
        <f aca="false">(YEAR(E157)-YEAR(G157))*12+(MONTH(E157)-MONTH(G157))</f>
        <v>5</v>
      </c>
    </row>
    <row r="158" customFormat="false" ht="15" hidden="false" customHeight="false" outlineLevel="0" collapsed="false">
      <c r="A158" s="4" t="n">
        <v>5198</v>
      </c>
      <c r="B158" s="4" t="s">
        <v>123</v>
      </c>
      <c r="C158" s="4" t="s">
        <v>124</v>
      </c>
      <c r="D158" s="4" t="s">
        <v>18</v>
      </c>
      <c r="E158" s="5" t="n">
        <v>45489</v>
      </c>
      <c r="F158" s="6" t="n">
        <v>79.48</v>
      </c>
      <c r="G158" s="7" t="n">
        <f aca="false">DATE(YEAR(_xlfn.MINIFS($E$5:$E$281,$B$5:$B$281,B158)),MONTH(_xlfn.MINIFS($E$5:$E$281,$B$5:$B$281,B158)),1)</f>
        <v>45474</v>
      </c>
      <c r="H158" s="4" t="n">
        <f aca="false">(YEAR(E158)-YEAR(G158))*12+(MONTH(E158)-MONTH(G158))</f>
        <v>0</v>
      </c>
    </row>
    <row r="159" customFormat="false" ht="15" hidden="false" customHeight="false" outlineLevel="0" collapsed="false">
      <c r="A159" s="4" t="n">
        <v>5116</v>
      </c>
      <c r="B159" s="4" t="s">
        <v>129</v>
      </c>
      <c r="C159" s="4" t="s">
        <v>130</v>
      </c>
      <c r="D159" s="4" t="s">
        <v>15</v>
      </c>
      <c r="E159" s="5" t="n">
        <v>45490</v>
      </c>
      <c r="F159" s="6" t="n">
        <v>208.43</v>
      </c>
      <c r="G159" s="7" t="n">
        <f aca="false">DATE(YEAR(_xlfn.MINIFS($E$5:$E$281,$B$5:$B$281,B159)),MONTH(_xlfn.MINIFS($E$5:$E$281,$B$5:$B$281,B159)),1)</f>
        <v>45474</v>
      </c>
      <c r="H159" s="4" t="n">
        <f aca="false">(YEAR(E159)-YEAR(G159))*12+(MONTH(E159)-MONTH(G159))</f>
        <v>0</v>
      </c>
    </row>
    <row r="160" customFormat="false" ht="15" hidden="false" customHeight="false" outlineLevel="0" collapsed="false">
      <c r="A160" s="4" t="n">
        <v>5012</v>
      </c>
      <c r="B160" s="4" t="s">
        <v>131</v>
      </c>
      <c r="C160" s="4" t="s">
        <v>132</v>
      </c>
      <c r="D160" s="4" t="s">
        <v>24</v>
      </c>
      <c r="E160" s="5" t="n">
        <v>45490</v>
      </c>
      <c r="F160" s="6" t="n">
        <v>131.97</v>
      </c>
      <c r="G160" s="7" t="n">
        <f aca="false">DATE(YEAR(_xlfn.MINIFS($E$5:$E$281,$B$5:$B$281,B160)),MONTH(_xlfn.MINIFS($E$5:$E$281,$B$5:$B$281,B160)),1)</f>
        <v>45474</v>
      </c>
      <c r="H160" s="4" t="n">
        <f aca="false">(YEAR(E160)-YEAR(G160))*12+(MONTH(E160)-MONTH(G160))</f>
        <v>0</v>
      </c>
    </row>
    <row r="161" customFormat="false" ht="15" hidden="false" customHeight="false" outlineLevel="0" collapsed="false">
      <c r="A161" s="4" t="n">
        <v>5242</v>
      </c>
      <c r="B161" s="4" t="s">
        <v>73</v>
      </c>
      <c r="C161" s="4" t="s">
        <v>74</v>
      </c>
      <c r="D161" s="4" t="s">
        <v>12</v>
      </c>
      <c r="E161" s="5" t="n">
        <v>45492</v>
      </c>
      <c r="F161" s="6" t="n">
        <v>76.74</v>
      </c>
      <c r="G161" s="7" t="n">
        <f aca="false">DATE(YEAR(_xlfn.MINIFS($E$5:$E$281,$B$5:$B$281,B161)),MONTH(_xlfn.MINIFS($E$5:$E$281,$B$5:$B$281,B161)),1)</f>
        <v>45383</v>
      </c>
      <c r="H161" s="4" t="n">
        <f aca="false">(YEAR(E161)-YEAR(G161))*12+(MONTH(E161)-MONTH(G161))</f>
        <v>3</v>
      </c>
    </row>
    <row r="162" customFormat="false" ht="15" hidden="false" customHeight="false" outlineLevel="0" collapsed="false">
      <c r="A162" s="4" t="n">
        <v>5148</v>
      </c>
      <c r="B162" s="4" t="s">
        <v>109</v>
      </c>
      <c r="C162" s="4" t="s">
        <v>110</v>
      </c>
      <c r="D162" s="4" t="s">
        <v>21</v>
      </c>
      <c r="E162" s="5" t="n">
        <v>45493</v>
      </c>
      <c r="F162" s="6" t="n">
        <v>202.87</v>
      </c>
      <c r="G162" s="7" t="n">
        <f aca="false">DATE(YEAR(_xlfn.MINIFS($E$5:$E$281,$B$5:$B$281,B162)),MONTH(_xlfn.MINIFS($E$5:$E$281,$B$5:$B$281,B162)),1)</f>
        <v>45444</v>
      </c>
      <c r="H162" s="4" t="n">
        <f aca="false">(YEAR(E162)-YEAR(G162))*12+(MONTH(E162)-MONTH(G162))</f>
        <v>1</v>
      </c>
    </row>
    <row r="163" customFormat="false" ht="15" hidden="false" customHeight="false" outlineLevel="0" collapsed="false">
      <c r="A163" s="4" t="n">
        <v>5210</v>
      </c>
      <c r="B163" s="4" t="s">
        <v>111</v>
      </c>
      <c r="C163" s="4" t="s">
        <v>112</v>
      </c>
      <c r="D163" s="4" t="s">
        <v>21</v>
      </c>
      <c r="E163" s="5" t="n">
        <v>45493</v>
      </c>
      <c r="F163" s="6" t="n">
        <v>217.16</v>
      </c>
      <c r="G163" s="7" t="n">
        <f aca="false">DATE(YEAR(_xlfn.MINIFS($E$5:$E$281,$B$5:$B$281,B163)),MONTH(_xlfn.MINIFS($E$5:$E$281,$B$5:$B$281,B163)),1)</f>
        <v>45444</v>
      </c>
      <c r="H163" s="4" t="n">
        <f aca="false">(YEAR(E163)-YEAR(G163))*12+(MONTH(E163)-MONTH(G163))</f>
        <v>1</v>
      </c>
    </row>
    <row r="164" customFormat="false" ht="15" hidden="false" customHeight="false" outlineLevel="0" collapsed="false">
      <c r="A164" s="4" t="n">
        <v>5149</v>
      </c>
      <c r="B164" s="4" t="s">
        <v>109</v>
      </c>
      <c r="C164" s="4" t="s">
        <v>110</v>
      </c>
      <c r="D164" s="4" t="s">
        <v>21</v>
      </c>
      <c r="E164" s="5" t="n">
        <v>45494</v>
      </c>
      <c r="F164" s="6" t="n">
        <v>209.03</v>
      </c>
      <c r="G164" s="7" t="n">
        <f aca="false">DATE(YEAR(_xlfn.MINIFS($E$5:$E$281,$B$5:$B$281,B164)),MONTH(_xlfn.MINIFS($E$5:$E$281,$B$5:$B$281,B164)),1)</f>
        <v>45444</v>
      </c>
      <c r="H164" s="4" t="n">
        <f aca="false">(YEAR(E164)-YEAR(G164))*12+(MONTH(E164)-MONTH(G164))</f>
        <v>1</v>
      </c>
    </row>
    <row r="165" customFormat="false" ht="15" hidden="false" customHeight="false" outlineLevel="0" collapsed="false">
      <c r="A165" s="4" t="n">
        <v>5259</v>
      </c>
      <c r="B165" s="4" t="s">
        <v>47</v>
      </c>
      <c r="C165" s="4" t="s">
        <v>48</v>
      </c>
      <c r="D165" s="4" t="s">
        <v>15</v>
      </c>
      <c r="E165" s="5" t="n">
        <v>45494</v>
      </c>
      <c r="F165" s="6" t="n">
        <v>107.76</v>
      </c>
      <c r="G165" s="7" t="n">
        <f aca="false">DATE(YEAR(_xlfn.MINIFS($E$5:$E$281,$B$5:$B$281,B165)),MONTH(_xlfn.MINIFS($E$5:$E$281,$B$5:$B$281,B165)),1)</f>
        <v>45323</v>
      </c>
      <c r="H165" s="4" t="n">
        <f aca="false">(YEAR(E165)-YEAR(G165))*12+(MONTH(E165)-MONTH(G165))</f>
        <v>5</v>
      </c>
    </row>
    <row r="166" customFormat="false" ht="15" hidden="false" customHeight="false" outlineLevel="0" collapsed="false">
      <c r="A166" s="4" t="n">
        <v>5092</v>
      </c>
      <c r="B166" s="4" t="s">
        <v>63</v>
      </c>
      <c r="C166" s="4" t="s">
        <v>64</v>
      </c>
      <c r="D166" s="4" t="s">
        <v>18</v>
      </c>
      <c r="E166" s="5" t="n">
        <v>45494</v>
      </c>
      <c r="F166" s="6" t="n">
        <v>48.14</v>
      </c>
      <c r="G166" s="7" t="n">
        <f aca="false">DATE(YEAR(_xlfn.MINIFS($E$5:$E$281,$B$5:$B$281,B166)),MONTH(_xlfn.MINIFS($E$5:$E$281,$B$5:$B$281,B166)),1)</f>
        <v>45352</v>
      </c>
      <c r="H166" s="4" t="n">
        <f aca="false">(YEAR(E166)-YEAR(G166))*12+(MONTH(E166)-MONTH(G166))</f>
        <v>4</v>
      </c>
    </row>
    <row r="167" customFormat="false" ht="15" hidden="false" customHeight="false" outlineLevel="0" collapsed="false">
      <c r="A167" s="4" t="n">
        <v>5176</v>
      </c>
      <c r="B167" s="4" t="s">
        <v>133</v>
      </c>
      <c r="C167" s="4" t="s">
        <v>134</v>
      </c>
      <c r="D167" s="4" t="s">
        <v>24</v>
      </c>
      <c r="E167" s="5" t="n">
        <v>45494</v>
      </c>
      <c r="F167" s="6" t="n">
        <v>137.21</v>
      </c>
      <c r="G167" s="7" t="n">
        <f aca="false">DATE(YEAR(_xlfn.MINIFS($E$5:$E$281,$B$5:$B$281,B167)),MONTH(_xlfn.MINIFS($E$5:$E$281,$B$5:$B$281,B167)),1)</f>
        <v>45474</v>
      </c>
      <c r="H167" s="4" t="n">
        <f aca="false">(YEAR(E167)-YEAR(G167))*12+(MONTH(E167)-MONTH(G167))</f>
        <v>0</v>
      </c>
    </row>
    <row r="168" customFormat="false" ht="15" hidden="false" customHeight="false" outlineLevel="0" collapsed="false">
      <c r="A168" s="4" t="n">
        <v>5013</v>
      </c>
      <c r="B168" s="4" t="s">
        <v>135</v>
      </c>
      <c r="C168" s="4" t="s">
        <v>136</v>
      </c>
      <c r="D168" s="4" t="s">
        <v>21</v>
      </c>
      <c r="E168" s="5" t="n">
        <v>45496</v>
      </c>
      <c r="F168" s="6" t="n">
        <v>52.59</v>
      </c>
      <c r="G168" s="7" t="n">
        <f aca="false">DATE(YEAR(_xlfn.MINIFS($E$5:$E$281,$B$5:$B$281,B168)),MONTH(_xlfn.MINIFS($E$5:$E$281,$B$5:$B$281,B168)),1)</f>
        <v>45474</v>
      </c>
      <c r="H168" s="4" t="n">
        <f aca="false">(YEAR(E168)-YEAR(G168))*12+(MONTH(E168)-MONTH(G168))</f>
        <v>0</v>
      </c>
    </row>
    <row r="169" customFormat="false" ht="15" hidden="false" customHeight="false" outlineLevel="0" collapsed="false">
      <c r="A169" s="4" t="n">
        <v>5060</v>
      </c>
      <c r="B169" s="4" t="s">
        <v>43</v>
      </c>
      <c r="C169" s="4" t="s">
        <v>44</v>
      </c>
      <c r="D169" s="4" t="s">
        <v>15</v>
      </c>
      <c r="E169" s="5" t="n">
        <v>45497</v>
      </c>
      <c r="F169" s="6" t="n">
        <v>157.04</v>
      </c>
      <c r="G169" s="7" t="n">
        <f aca="false">DATE(YEAR(_xlfn.MINIFS($E$5:$E$281,$B$5:$B$281,B169)),MONTH(_xlfn.MINIFS($E$5:$E$281,$B$5:$B$281,B169)),1)</f>
        <v>45323</v>
      </c>
      <c r="H169" s="4" t="n">
        <f aca="false">(YEAR(E169)-YEAR(G169))*12+(MONTH(E169)-MONTH(G169))</f>
        <v>5</v>
      </c>
    </row>
    <row r="170" customFormat="false" ht="15" hidden="false" customHeight="false" outlineLevel="0" collapsed="false">
      <c r="A170" s="4" t="n">
        <v>5266</v>
      </c>
      <c r="B170" s="4" t="s">
        <v>115</v>
      </c>
      <c r="C170" s="4" t="s">
        <v>116</v>
      </c>
      <c r="D170" s="4" t="s">
        <v>18</v>
      </c>
      <c r="E170" s="5" t="n">
        <v>45497</v>
      </c>
      <c r="F170" s="6" t="n">
        <v>56.57</v>
      </c>
      <c r="G170" s="7" t="n">
        <f aca="false">DATE(YEAR(_xlfn.MINIFS($E$5:$E$281,$B$5:$B$281,B170)),MONTH(_xlfn.MINIFS($E$5:$E$281,$B$5:$B$281,B170)),1)</f>
        <v>45444</v>
      </c>
      <c r="H170" s="4" t="n">
        <f aca="false">(YEAR(E170)-YEAR(G170))*12+(MONTH(E170)-MONTH(G170))</f>
        <v>1</v>
      </c>
    </row>
    <row r="171" customFormat="false" ht="15" hidden="false" customHeight="false" outlineLevel="0" collapsed="false">
      <c r="A171" s="4" t="n">
        <v>5234</v>
      </c>
      <c r="B171" s="4" t="s">
        <v>87</v>
      </c>
      <c r="C171" s="4" t="s">
        <v>88</v>
      </c>
      <c r="D171" s="4" t="s">
        <v>18</v>
      </c>
      <c r="E171" s="5" t="n">
        <v>45498</v>
      </c>
      <c r="F171" s="6" t="n">
        <v>31.68</v>
      </c>
      <c r="G171" s="7" t="n">
        <f aca="false">DATE(YEAR(_xlfn.MINIFS($E$5:$E$281,$B$5:$B$281,B171)),MONTH(_xlfn.MINIFS($E$5:$E$281,$B$5:$B$281,B171)),1)</f>
        <v>45413</v>
      </c>
      <c r="H171" s="4" t="n">
        <f aca="false">(YEAR(E171)-YEAR(G171))*12+(MONTH(E171)-MONTH(G171))</f>
        <v>2</v>
      </c>
    </row>
    <row r="172" customFormat="false" ht="15" hidden="false" customHeight="false" outlineLevel="0" collapsed="false">
      <c r="A172" s="4" t="n">
        <v>5078</v>
      </c>
      <c r="B172" s="4" t="s">
        <v>125</v>
      </c>
      <c r="C172" s="4" t="s">
        <v>126</v>
      </c>
      <c r="D172" s="4" t="s">
        <v>15</v>
      </c>
      <c r="E172" s="5" t="n">
        <v>45501</v>
      </c>
      <c r="F172" s="6" t="n">
        <v>135.78</v>
      </c>
      <c r="G172" s="7" t="n">
        <f aca="false">DATE(YEAR(_xlfn.MINIFS($E$5:$E$281,$B$5:$B$281,B172)),MONTH(_xlfn.MINIFS($E$5:$E$281,$B$5:$B$281,B172)),1)</f>
        <v>45474</v>
      </c>
      <c r="H172" s="4" t="n">
        <f aca="false">(YEAR(E172)-YEAR(G172))*12+(MONTH(E172)-MONTH(G172))</f>
        <v>0</v>
      </c>
    </row>
    <row r="173" customFormat="false" ht="15" hidden="false" customHeight="false" outlineLevel="0" collapsed="false">
      <c r="A173" s="4" t="n">
        <v>5221</v>
      </c>
      <c r="B173" s="4" t="s">
        <v>101</v>
      </c>
      <c r="C173" s="4" t="s">
        <v>102</v>
      </c>
      <c r="D173" s="4" t="s">
        <v>24</v>
      </c>
      <c r="E173" s="5" t="n">
        <v>45502</v>
      </c>
      <c r="F173" s="6" t="n">
        <v>115.83</v>
      </c>
      <c r="G173" s="7" t="n">
        <f aca="false">DATE(YEAR(_xlfn.MINIFS($E$5:$E$281,$B$5:$B$281,B173)),MONTH(_xlfn.MINIFS($E$5:$E$281,$B$5:$B$281,B173)),1)</f>
        <v>45444</v>
      </c>
      <c r="H173" s="4" t="n">
        <f aca="false">(YEAR(E173)-YEAR(G173))*12+(MONTH(E173)-MONTH(G173))</f>
        <v>1</v>
      </c>
    </row>
    <row r="174" customFormat="false" ht="15" hidden="false" customHeight="false" outlineLevel="0" collapsed="false">
      <c r="A174" s="4" t="n">
        <v>5188</v>
      </c>
      <c r="B174" s="4" t="s">
        <v>57</v>
      </c>
      <c r="C174" s="4" t="s">
        <v>58</v>
      </c>
      <c r="D174" s="4" t="s">
        <v>21</v>
      </c>
      <c r="E174" s="5" t="n">
        <v>45502</v>
      </c>
      <c r="F174" s="6" t="n">
        <v>47.1</v>
      </c>
      <c r="G174" s="7" t="n">
        <f aca="false">DATE(YEAR(_xlfn.MINIFS($E$5:$E$281,$B$5:$B$281,B174)),MONTH(_xlfn.MINIFS($E$5:$E$281,$B$5:$B$281,B174)),1)</f>
        <v>45352</v>
      </c>
      <c r="H174" s="4" t="n">
        <f aca="false">(YEAR(E174)-YEAR(G174))*12+(MONTH(E174)-MONTH(G174))</f>
        <v>4</v>
      </c>
    </row>
    <row r="175" customFormat="false" ht="15" hidden="false" customHeight="false" outlineLevel="0" collapsed="false">
      <c r="A175" s="4" t="n">
        <v>5175</v>
      </c>
      <c r="B175" s="4" t="s">
        <v>133</v>
      </c>
      <c r="C175" s="4" t="s">
        <v>134</v>
      </c>
      <c r="D175" s="4" t="s">
        <v>24</v>
      </c>
      <c r="E175" s="5" t="n">
        <v>45504</v>
      </c>
      <c r="F175" s="6" t="n">
        <v>16.3</v>
      </c>
      <c r="G175" s="7" t="n">
        <f aca="false">DATE(YEAR(_xlfn.MINIFS($E$5:$E$281,$B$5:$B$281,B175)),MONTH(_xlfn.MINIFS($E$5:$E$281,$B$5:$B$281,B175)),1)</f>
        <v>45474</v>
      </c>
      <c r="H175" s="4" t="n">
        <f aca="false">(YEAR(E175)-YEAR(G175))*12+(MONTH(E175)-MONTH(G175))</f>
        <v>0</v>
      </c>
    </row>
    <row r="176" customFormat="false" ht="15" hidden="false" customHeight="false" outlineLevel="0" collapsed="false">
      <c r="A176" s="4" t="n">
        <v>5179</v>
      </c>
      <c r="B176" s="4" t="s">
        <v>137</v>
      </c>
      <c r="C176" s="4" t="s">
        <v>138</v>
      </c>
      <c r="D176" s="4" t="s">
        <v>21</v>
      </c>
      <c r="E176" s="5" t="n">
        <v>45505</v>
      </c>
      <c r="F176" s="6" t="n">
        <v>182.86</v>
      </c>
      <c r="G176" s="7" t="n">
        <f aca="false">DATE(YEAR(_xlfn.MINIFS($E$5:$E$281,$B$5:$B$281,B176)),MONTH(_xlfn.MINIFS($E$5:$E$281,$B$5:$B$281,B176)),1)</f>
        <v>45505</v>
      </c>
      <c r="H176" s="4" t="n">
        <f aca="false">(YEAR(E176)-YEAR(G176))*12+(MONTH(E176)-MONTH(G176))</f>
        <v>0</v>
      </c>
    </row>
    <row r="177" customFormat="false" ht="15" hidden="false" customHeight="false" outlineLevel="0" collapsed="false">
      <c r="A177" s="4" t="n">
        <v>5079</v>
      </c>
      <c r="B177" s="4" t="s">
        <v>139</v>
      </c>
      <c r="C177" s="4" t="s">
        <v>140</v>
      </c>
      <c r="D177" s="4" t="s">
        <v>18</v>
      </c>
      <c r="E177" s="5" t="n">
        <v>45506</v>
      </c>
      <c r="F177" s="6" t="n">
        <v>72.53</v>
      </c>
      <c r="G177" s="7" t="n">
        <f aca="false">DATE(YEAR(_xlfn.MINIFS($E$5:$E$281,$B$5:$B$281,B177)),MONTH(_xlfn.MINIFS($E$5:$E$281,$B$5:$B$281,B177)),1)</f>
        <v>45505</v>
      </c>
      <c r="H177" s="4" t="n">
        <f aca="false">(YEAR(E177)-YEAR(G177))*12+(MONTH(E177)-MONTH(G177))</f>
        <v>0</v>
      </c>
    </row>
    <row r="178" customFormat="false" ht="15" hidden="false" customHeight="false" outlineLevel="0" collapsed="false">
      <c r="A178" s="4" t="n">
        <v>5150</v>
      </c>
      <c r="B178" s="4" t="s">
        <v>109</v>
      </c>
      <c r="C178" s="4" t="s">
        <v>110</v>
      </c>
      <c r="D178" s="4" t="s">
        <v>21</v>
      </c>
      <c r="E178" s="5" t="n">
        <v>45508</v>
      </c>
      <c r="F178" s="6" t="n">
        <v>112.41</v>
      </c>
      <c r="G178" s="7" t="n">
        <f aca="false">DATE(YEAR(_xlfn.MINIFS($E$5:$E$281,$B$5:$B$281,B178)),MONTH(_xlfn.MINIFS($E$5:$E$281,$B$5:$B$281,B178)),1)</f>
        <v>45444</v>
      </c>
      <c r="H178" s="4" t="n">
        <f aca="false">(YEAR(E178)-YEAR(G178))*12+(MONTH(E178)-MONTH(G178))</f>
        <v>2</v>
      </c>
    </row>
    <row r="179" customFormat="false" ht="15" hidden="false" customHeight="false" outlineLevel="0" collapsed="false">
      <c r="A179" s="4" t="n">
        <v>5137</v>
      </c>
      <c r="B179" s="4" t="s">
        <v>141</v>
      </c>
      <c r="C179" s="4" t="s">
        <v>142</v>
      </c>
      <c r="D179" s="4" t="s">
        <v>12</v>
      </c>
      <c r="E179" s="5" t="n">
        <v>45511</v>
      </c>
      <c r="F179" s="6" t="n">
        <v>92.93</v>
      </c>
      <c r="G179" s="7" t="n">
        <f aca="false">DATE(YEAR(_xlfn.MINIFS($E$5:$E$281,$B$5:$B$281,B179)),MONTH(_xlfn.MINIFS($E$5:$E$281,$B$5:$B$281,B179)),1)</f>
        <v>45505</v>
      </c>
      <c r="H179" s="4" t="n">
        <f aca="false">(YEAR(E179)-YEAR(G179))*12+(MONTH(E179)-MONTH(G179))</f>
        <v>0</v>
      </c>
    </row>
    <row r="180" customFormat="false" ht="15" hidden="false" customHeight="false" outlineLevel="0" collapsed="false">
      <c r="A180" s="4" t="n">
        <v>5267</v>
      </c>
      <c r="B180" s="4" t="s">
        <v>115</v>
      </c>
      <c r="C180" s="4" t="s">
        <v>116</v>
      </c>
      <c r="D180" s="4" t="s">
        <v>18</v>
      </c>
      <c r="E180" s="5" t="n">
        <v>45511</v>
      </c>
      <c r="F180" s="6" t="n">
        <v>195.43</v>
      </c>
      <c r="G180" s="7" t="n">
        <f aca="false">DATE(YEAR(_xlfn.MINIFS($E$5:$E$281,$B$5:$B$281,B180)),MONTH(_xlfn.MINIFS($E$5:$E$281,$B$5:$B$281,B180)),1)</f>
        <v>45444</v>
      </c>
      <c r="H180" s="4" t="n">
        <f aca="false">(YEAR(E180)-YEAR(G180))*12+(MONTH(E180)-MONTH(G180))</f>
        <v>2</v>
      </c>
    </row>
    <row r="181" customFormat="false" ht="15" hidden="false" customHeight="false" outlineLevel="0" collapsed="false">
      <c r="A181" s="4" t="n">
        <v>5260</v>
      </c>
      <c r="B181" s="4" t="s">
        <v>47</v>
      </c>
      <c r="C181" s="4" t="s">
        <v>48</v>
      </c>
      <c r="D181" s="4" t="s">
        <v>15</v>
      </c>
      <c r="E181" s="5" t="n">
        <v>45512</v>
      </c>
      <c r="F181" s="6" t="n">
        <v>147.02</v>
      </c>
      <c r="G181" s="7" t="n">
        <f aca="false">DATE(YEAR(_xlfn.MINIFS($E$5:$E$281,$B$5:$B$281,B181)),MONTH(_xlfn.MINIFS($E$5:$E$281,$B$5:$B$281,B181)),1)</f>
        <v>45323</v>
      </c>
      <c r="H181" s="4" t="n">
        <f aca="false">(YEAR(E181)-YEAR(G181))*12+(MONTH(E181)-MONTH(G181))</f>
        <v>6</v>
      </c>
    </row>
    <row r="182" customFormat="false" ht="15" hidden="false" customHeight="false" outlineLevel="0" collapsed="false">
      <c r="A182" s="4" t="n">
        <v>5225</v>
      </c>
      <c r="B182" s="4" t="s">
        <v>143</v>
      </c>
      <c r="C182" s="4" t="s">
        <v>144</v>
      </c>
      <c r="D182" s="4" t="s">
        <v>24</v>
      </c>
      <c r="E182" s="5" t="n">
        <v>45513</v>
      </c>
      <c r="F182" s="6" t="n">
        <v>117.95</v>
      </c>
      <c r="G182" s="7" t="n">
        <f aca="false">DATE(YEAR(_xlfn.MINIFS($E$5:$E$281,$B$5:$B$281,B182)),MONTH(_xlfn.MINIFS($E$5:$E$281,$B$5:$B$281,B182)),1)</f>
        <v>45505</v>
      </c>
      <c r="H182" s="4" t="n">
        <f aca="false">(YEAR(E182)-YEAR(G182))*12+(MONTH(E182)-MONTH(G182))</f>
        <v>0</v>
      </c>
    </row>
    <row r="183" customFormat="false" ht="15" hidden="false" customHeight="false" outlineLevel="0" collapsed="false">
      <c r="A183" s="4" t="n">
        <v>5268</v>
      </c>
      <c r="B183" s="4" t="s">
        <v>115</v>
      </c>
      <c r="C183" s="4" t="s">
        <v>116</v>
      </c>
      <c r="D183" s="4" t="s">
        <v>18</v>
      </c>
      <c r="E183" s="5" t="n">
        <v>45515</v>
      </c>
      <c r="F183" s="6" t="n">
        <v>138.25</v>
      </c>
      <c r="G183" s="7" t="n">
        <f aca="false">DATE(YEAR(_xlfn.MINIFS($E$5:$E$281,$B$5:$B$281,B183)),MONTH(_xlfn.MINIFS($E$5:$E$281,$B$5:$B$281,B183)),1)</f>
        <v>45444</v>
      </c>
      <c r="H183" s="4" t="n">
        <f aca="false">(YEAR(E183)-YEAR(G183))*12+(MONTH(E183)-MONTH(G183))</f>
        <v>2</v>
      </c>
    </row>
    <row r="184" customFormat="false" ht="15" hidden="false" customHeight="false" outlineLevel="0" collapsed="false">
      <c r="A184" s="4" t="n">
        <v>5202</v>
      </c>
      <c r="B184" s="4" t="s">
        <v>93</v>
      </c>
      <c r="C184" s="4" t="s">
        <v>94</v>
      </c>
      <c r="D184" s="4" t="s">
        <v>24</v>
      </c>
      <c r="E184" s="5" t="n">
        <v>45517</v>
      </c>
      <c r="F184" s="6" t="n">
        <v>207.4</v>
      </c>
      <c r="G184" s="7" t="n">
        <f aca="false">DATE(YEAR(_xlfn.MINIFS($E$5:$E$281,$B$5:$B$281,B184)),MONTH(_xlfn.MINIFS($E$5:$E$281,$B$5:$B$281,B184)),1)</f>
        <v>45413</v>
      </c>
      <c r="H184" s="4" t="n">
        <f aca="false">(YEAR(E184)-YEAR(G184))*12+(MONTH(E184)-MONTH(G184))</f>
        <v>3</v>
      </c>
    </row>
    <row r="185" customFormat="false" ht="15" hidden="false" customHeight="false" outlineLevel="0" collapsed="false">
      <c r="A185" s="4" t="n">
        <v>5269</v>
      </c>
      <c r="B185" s="4" t="s">
        <v>115</v>
      </c>
      <c r="C185" s="4" t="s">
        <v>116</v>
      </c>
      <c r="D185" s="4" t="s">
        <v>18</v>
      </c>
      <c r="E185" s="5" t="n">
        <v>45517</v>
      </c>
      <c r="F185" s="6" t="n">
        <v>201.05</v>
      </c>
      <c r="G185" s="7" t="n">
        <f aca="false">DATE(YEAR(_xlfn.MINIFS($E$5:$E$281,$B$5:$B$281,B185)),MONTH(_xlfn.MINIFS($E$5:$E$281,$B$5:$B$281,B185)),1)</f>
        <v>45444</v>
      </c>
      <c r="H185" s="4" t="n">
        <f aca="false">(YEAR(E185)-YEAR(G185))*12+(MONTH(E185)-MONTH(G185))</f>
        <v>2</v>
      </c>
    </row>
    <row r="186" customFormat="false" ht="15" hidden="false" customHeight="false" outlineLevel="0" collapsed="false">
      <c r="A186" s="4" t="n">
        <v>5094</v>
      </c>
      <c r="B186" s="4" t="s">
        <v>63</v>
      </c>
      <c r="C186" s="4" t="s">
        <v>64</v>
      </c>
      <c r="D186" s="4" t="s">
        <v>18</v>
      </c>
      <c r="E186" s="5" t="n">
        <v>45519</v>
      </c>
      <c r="F186" s="6" t="n">
        <v>200.78</v>
      </c>
      <c r="G186" s="7" t="n">
        <f aca="false">DATE(YEAR(_xlfn.MINIFS($E$5:$E$281,$B$5:$B$281,B186)),MONTH(_xlfn.MINIFS($E$5:$E$281,$B$5:$B$281,B186)),1)</f>
        <v>45352</v>
      </c>
      <c r="H186" s="4" t="n">
        <f aca="false">(YEAR(E186)-YEAR(G186))*12+(MONTH(E186)-MONTH(G186))</f>
        <v>5</v>
      </c>
    </row>
    <row r="187" customFormat="false" ht="15" hidden="false" customHeight="false" outlineLevel="0" collapsed="false">
      <c r="A187" s="4" t="n">
        <v>5061</v>
      </c>
      <c r="B187" s="4" t="s">
        <v>43</v>
      </c>
      <c r="C187" s="4" t="s">
        <v>44</v>
      </c>
      <c r="D187" s="4" t="s">
        <v>15</v>
      </c>
      <c r="E187" s="5" t="n">
        <v>45520</v>
      </c>
      <c r="F187" s="6" t="n">
        <v>27.44</v>
      </c>
      <c r="G187" s="7" t="n">
        <f aca="false">DATE(YEAR(_xlfn.MINIFS($E$5:$E$281,$B$5:$B$281,B187)),MONTH(_xlfn.MINIFS($E$5:$E$281,$B$5:$B$281,B187)),1)</f>
        <v>45323</v>
      </c>
      <c r="H187" s="4" t="n">
        <f aca="false">(YEAR(E187)-YEAR(G187))*12+(MONTH(E187)-MONTH(G187))</f>
        <v>6</v>
      </c>
    </row>
    <row r="188" customFormat="false" ht="15" hidden="false" customHeight="false" outlineLevel="0" collapsed="false">
      <c r="A188" s="4" t="n">
        <v>5093</v>
      </c>
      <c r="B188" s="4" t="s">
        <v>63</v>
      </c>
      <c r="C188" s="4" t="s">
        <v>64</v>
      </c>
      <c r="D188" s="4" t="s">
        <v>18</v>
      </c>
      <c r="E188" s="5" t="n">
        <v>45520</v>
      </c>
      <c r="F188" s="6" t="n">
        <v>127.83</v>
      </c>
      <c r="G188" s="7" t="n">
        <f aca="false">DATE(YEAR(_xlfn.MINIFS($E$5:$E$281,$B$5:$B$281,B188)),MONTH(_xlfn.MINIFS($E$5:$E$281,$B$5:$B$281,B188)),1)</f>
        <v>45352</v>
      </c>
      <c r="H188" s="4" t="n">
        <f aca="false">(YEAR(E188)-YEAR(G188))*12+(MONTH(E188)-MONTH(G188))</f>
        <v>5</v>
      </c>
    </row>
    <row r="189" customFormat="false" ht="15" hidden="false" customHeight="false" outlineLevel="0" collapsed="false">
      <c r="A189" s="4" t="n">
        <v>5038</v>
      </c>
      <c r="B189" s="4" t="s">
        <v>97</v>
      </c>
      <c r="C189" s="4" t="s">
        <v>98</v>
      </c>
      <c r="D189" s="4" t="s">
        <v>15</v>
      </c>
      <c r="E189" s="5" t="n">
        <v>45521</v>
      </c>
      <c r="F189" s="6" t="n">
        <v>174.13</v>
      </c>
      <c r="G189" s="7" t="n">
        <f aca="false">DATE(YEAR(_xlfn.MINIFS($E$5:$E$281,$B$5:$B$281,B189)),MONTH(_xlfn.MINIFS($E$5:$E$281,$B$5:$B$281,B189)),1)</f>
        <v>45444</v>
      </c>
      <c r="H189" s="4" t="n">
        <f aca="false">(YEAR(E189)-YEAR(G189))*12+(MONTH(E189)-MONTH(G189))</f>
        <v>2</v>
      </c>
    </row>
    <row r="190" customFormat="false" ht="15" hidden="false" customHeight="false" outlineLevel="0" collapsed="false">
      <c r="A190" s="4" t="n">
        <v>5109</v>
      </c>
      <c r="B190" s="4" t="s">
        <v>145</v>
      </c>
      <c r="C190" s="4" t="s">
        <v>146</v>
      </c>
      <c r="D190" s="4" t="s">
        <v>24</v>
      </c>
      <c r="E190" s="5" t="n">
        <v>45521</v>
      </c>
      <c r="F190" s="6" t="n">
        <v>214.24</v>
      </c>
      <c r="G190" s="7" t="n">
        <f aca="false">DATE(YEAR(_xlfn.MINIFS($E$5:$E$281,$B$5:$B$281,B190)),MONTH(_xlfn.MINIFS($E$5:$E$281,$B$5:$B$281,B190)),1)</f>
        <v>45505</v>
      </c>
      <c r="H190" s="4" t="n">
        <f aca="false">(YEAR(E190)-YEAR(G190))*12+(MONTH(E190)-MONTH(G190))</f>
        <v>0</v>
      </c>
    </row>
    <row r="191" customFormat="false" ht="15" hidden="false" customHeight="false" outlineLevel="0" collapsed="false">
      <c r="A191" s="4" t="n">
        <v>5174</v>
      </c>
      <c r="B191" s="4" t="s">
        <v>147</v>
      </c>
      <c r="C191" s="4" t="s">
        <v>148</v>
      </c>
      <c r="D191" s="4" t="s">
        <v>18</v>
      </c>
      <c r="E191" s="5" t="n">
        <v>45521</v>
      </c>
      <c r="F191" s="6" t="n">
        <v>192.56</v>
      </c>
      <c r="G191" s="7" t="n">
        <f aca="false">DATE(YEAR(_xlfn.MINIFS($E$5:$E$281,$B$5:$B$281,B191)),MONTH(_xlfn.MINIFS($E$5:$E$281,$B$5:$B$281,B191)),1)</f>
        <v>45505</v>
      </c>
      <c r="H191" s="4" t="n">
        <f aca="false">(YEAR(E191)-YEAR(G191))*12+(MONTH(E191)-MONTH(G191))</f>
        <v>0</v>
      </c>
    </row>
    <row r="192" customFormat="false" ht="15" hidden="false" customHeight="false" outlineLevel="0" collapsed="false">
      <c r="A192" s="4" t="n">
        <v>5159</v>
      </c>
      <c r="B192" s="4" t="s">
        <v>69</v>
      </c>
      <c r="C192" s="4" t="s">
        <v>70</v>
      </c>
      <c r="D192" s="4" t="s">
        <v>15</v>
      </c>
      <c r="E192" s="5" t="n">
        <v>45522</v>
      </c>
      <c r="F192" s="6" t="n">
        <v>126.65</v>
      </c>
      <c r="G192" s="7" t="n">
        <f aca="false">DATE(YEAR(_xlfn.MINIFS($E$5:$E$281,$B$5:$B$281,B192)),MONTH(_xlfn.MINIFS($E$5:$E$281,$B$5:$B$281,B192)),1)</f>
        <v>45383</v>
      </c>
      <c r="H192" s="4" t="n">
        <f aca="false">(YEAR(E192)-YEAR(G192))*12+(MONTH(E192)-MONTH(G192))</f>
        <v>4</v>
      </c>
    </row>
    <row r="193" customFormat="false" ht="15" hidden="false" customHeight="false" outlineLevel="0" collapsed="false">
      <c r="A193" s="4" t="n">
        <v>5189</v>
      </c>
      <c r="B193" s="4" t="s">
        <v>57</v>
      </c>
      <c r="C193" s="4" t="s">
        <v>58</v>
      </c>
      <c r="D193" s="4" t="s">
        <v>21</v>
      </c>
      <c r="E193" s="5" t="n">
        <v>45523</v>
      </c>
      <c r="F193" s="6" t="n">
        <v>195.98</v>
      </c>
      <c r="G193" s="7" t="n">
        <f aca="false">DATE(YEAR(_xlfn.MINIFS($E$5:$E$281,$B$5:$B$281,B193)),MONTH(_xlfn.MINIFS($E$5:$E$281,$B$5:$B$281,B193)),1)</f>
        <v>45352</v>
      </c>
      <c r="H193" s="4" t="n">
        <f aca="false">(YEAR(E193)-YEAR(G193))*12+(MONTH(E193)-MONTH(G193))</f>
        <v>5</v>
      </c>
    </row>
    <row r="194" customFormat="false" ht="15" hidden="false" customHeight="false" outlineLevel="0" collapsed="false">
      <c r="A194" s="4" t="n">
        <v>5211</v>
      </c>
      <c r="B194" s="4" t="s">
        <v>111</v>
      </c>
      <c r="C194" s="4" t="s">
        <v>112</v>
      </c>
      <c r="D194" s="4" t="s">
        <v>21</v>
      </c>
      <c r="E194" s="5" t="n">
        <v>45524</v>
      </c>
      <c r="F194" s="6" t="n">
        <v>174.89</v>
      </c>
      <c r="G194" s="7" t="n">
        <f aca="false">DATE(YEAR(_xlfn.MINIFS($E$5:$E$281,$B$5:$B$281,B194)),MONTH(_xlfn.MINIFS($E$5:$E$281,$B$5:$B$281,B194)),1)</f>
        <v>45444</v>
      </c>
      <c r="H194" s="4" t="n">
        <f aca="false">(YEAR(E194)-YEAR(G194))*12+(MONTH(E194)-MONTH(G194))</f>
        <v>2</v>
      </c>
    </row>
    <row r="195" customFormat="false" ht="15" hidden="false" customHeight="false" outlineLevel="0" collapsed="false">
      <c r="A195" s="4" t="n">
        <v>5069</v>
      </c>
      <c r="B195" s="4" t="s">
        <v>119</v>
      </c>
      <c r="C195" s="4" t="s">
        <v>120</v>
      </c>
      <c r="D195" s="4" t="s">
        <v>15</v>
      </c>
      <c r="E195" s="5" t="n">
        <v>45524</v>
      </c>
      <c r="F195" s="6" t="n">
        <v>183.14</v>
      </c>
      <c r="G195" s="7" t="n">
        <f aca="false">DATE(YEAR(_xlfn.MINIFS($E$5:$E$281,$B$5:$B$281,B195)),MONTH(_xlfn.MINIFS($E$5:$E$281,$B$5:$B$281,B195)),1)</f>
        <v>45444</v>
      </c>
      <c r="H195" s="4" t="n">
        <f aca="false">(YEAR(E195)-YEAR(G195))*12+(MONTH(E195)-MONTH(G195))</f>
        <v>2</v>
      </c>
    </row>
    <row r="196" customFormat="false" ht="15" hidden="false" customHeight="false" outlineLevel="0" collapsed="false">
      <c r="A196" s="4" t="n">
        <v>5248</v>
      </c>
      <c r="B196" s="4" t="s">
        <v>149</v>
      </c>
      <c r="C196" s="4" t="s">
        <v>150</v>
      </c>
      <c r="D196" s="4" t="s">
        <v>21</v>
      </c>
      <c r="E196" s="5" t="n">
        <v>45525</v>
      </c>
      <c r="F196" s="6" t="n">
        <v>183.28</v>
      </c>
      <c r="G196" s="7" t="n">
        <f aca="false">DATE(YEAR(_xlfn.MINIFS($E$5:$E$281,$B$5:$B$281,B196)),MONTH(_xlfn.MINIFS($E$5:$E$281,$B$5:$B$281,B196)),1)</f>
        <v>45505</v>
      </c>
      <c r="H196" s="4" t="n">
        <f aca="false">(YEAR(E196)-YEAR(G196))*12+(MONTH(E196)-MONTH(G196))</f>
        <v>0</v>
      </c>
    </row>
    <row r="197" customFormat="false" ht="15" hidden="false" customHeight="false" outlineLevel="0" collapsed="false">
      <c r="A197" s="4" t="n">
        <v>5138</v>
      </c>
      <c r="B197" s="4" t="s">
        <v>141</v>
      </c>
      <c r="C197" s="4" t="s">
        <v>142</v>
      </c>
      <c r="D197" s="4" t="s">
        <v>12</v>
      </c>
      <c r="E197" s="5" t="n">
        <v>45529</v>
      </c>
      <c r="F197" s="6" t="n">
        <v>183.42</v>
      </c>
      <c r="G197" s="7" t="n">
        <f aca="false">DATE(YEAR(_xlfn.MINIFS($E$5:$E$281,$B$5:$B$281,B197)),MONTH(_xlfn.MINIFS($E$5:$E$281,$B$5:$B$281,B197)),1)</f>
        <v>45505</v>
      </c>
      <c r="H197" s="4" t="n">
        <f aca="false">(YEAR(E197)-YEAR(G197))*12+(MONTH(E197)-MONTH(G197))</f>
        <v>0</v>
      </c>
    </row>
    <row r="198" customFormat="false" ht="15" hidden="false" customHeight="false" outlineLevel="0" collapsed="false">
      <c r="A198" s="4" t="n">
        <v>5095</v>
      </c>
      <c r="B198" s="4" t="s">
        <v>63</v>
      </c>
      <c r="C198" s="4" t="s">
        <v>64</v>
      </c>
      <c r="D198" s="4" t="s">
        <v>18</v>
      </c>
      <c r="E198" s="5" t="n">
        <v>45529</v>
      </c>
      <c r="F198" s="6" t="n">
        <v>107.24</v>
      </c>
      <c r="G198" s="7" t="n">
        <f aca="false">DATE(YEAR(_xlfn.MINIFS($E$5:$E$281,$B$5:$B$281,B198)),MONTH(_xlfn.MINIFS($E$5:$E$281,$B$5:$B$281,B198)),1)</f>
        <v>45352</v>
      </c>
      <c r="H198" s="4" t="n">
        <f aca="false">(YEAR(E198)-YEAR(G198))*12+(MONTH(E198)-MONTH(G198))</f>
        <v>5</v>
      </c>
    </row>
    <row r="199" customFormat="false" ht="15" hidden="false" customHeight="false" outlineLevel="0" collapsed="false">
      <c r="A199" s="4" t="n">
        <v>5117</v>
      </c>
      <c r="B199" s="4" t="s">
        <v>129</v>
      </c>
      <c r="C199" s="4" t="s">
        <v>130</v>
      </c>
      <c r="D199" s="4" t="s">
        <v>15</v>
      </c>
      <c r="E199" s="5" t="n">
        <v>45530</v>
      </c>
      <c r="F199" s="6" t="n">
        <v>138.22</v>
      </c>
      <c r="G199" s="7" t="n">
        <f aca="false">DATE(YEAR(_xlfn.MINIFS($E$5:$E$281,$B$5:$B$281,B199)),MONTH(_xlfn.MINIFS($E$5:$E$281,$B$5:$B$281,B199)),1)</f>
        <v>45474</v>
      </c>
      <c r="H199" s="4" t="n">
        <f aca="false">(YEAR(E199)-YEAR(G199))*12+(MONTH(E199)-MONTH(G199))</f>
        <v>1</v>
      </c>
    </row>
    <row r="200" customFormat="false" ht="15" hidden="false" customHeight="false" outlineLevel="0" collapsed="false">
      <c r="A200" s="4" t="n">
        <v>5053</v>
      </c>
      <c r="B200" s="4" t="s">
        <v>151</v>
      </c>
      <c r="C200" s="4" t="s">
        <v>152</v>
      </c>
      <c r="D200" s="4" t="s">
        <v>15</v>
      </c>
      <c r="E200" s="5" t="n">
        <v>45530</v>
      </c>
      <c r="F200" s="6" t="n">
        <v>29.37</v>
      </c>
      <c r="G200" s="7" t="n">
        <f aca="false">DATE(YEAR(_xlfn.MINIFS($E$5:$E$281,$B$5:$B$281,B200)),MONTH(_xlfn.MINIFS($E$5:$E$281,$B$5:$B$281,B200)),1)</f>
        <v>45505</v>
      </c>
      <c r="H200" s="4" t="n">
        <f aca="false">(YEAR(E200)-YEAR(G200))*12+(MONTH(E200)-MONTH(G200))</f>
        <v>0</v>
      </c>
    </row>
    <row r="201" customFormat="false" ht="15" hidden="false" customHeight="false" outlineLevel="0" collapsed="false">
      <c r="A201" s="4" t="n">
        <v>5243</v>
      </c>
      <c r="B201" s="4" t="s">
        <v>73</v>
      </c>
      <c r="C201" s="4" t="s">
        <v>74</v>
      </c>
      <c r="D201" s="4" t="s">
        <v>12</v>
      </c>
      <c r="E201" s="5" t="n">
        <v>45531</v>
      </c>
      <c r="F201" s="6" t="n">
        <v>112.35</v>
      </c>
      <c r="G201" s="7" t="n">
        <f aca="false">DATE(YEAR(_xlfn.MINIFS($E$5:$E$281,$B$5:$B$281,B201)),MONTH(_xlfn.MINIFS($E$5:$E$281,$B$5:$B$281,B201)),1)</f>
        <v>45383</v>
      </c>
      <c r="H201" s="4" t="n">
        <f aca="false">(YEAR(E201)-YEAR(G201))*12+(MONTH(E201)-MONTH(G201))</f>
        <v>4</v>
      </c>
    </row>
    <row r="202" customFormat="false" ht="15" hidden="false" customHeight="false" outlineLevel="0" collapsed="false">
      <c r="A202" s="4" t="n">
        <v>5139</v>
      </c>
      <c r="B202" s="4" t="s">
        <v>141</v>
      </c>
      <c r="C202" s="4" t="s">
        <v>142</v>
      </c>
      <c r="D202" s="4" t="s">
        <v>12</v>
      </c>
      <c r="E202" s="5" t="n">
        <v>45531</v>
      </c>
      <c r="F202" s="6" t="n">
        <v>179.81</v>
      </c>
      <c r="G202" s="7" t="n">
        <f aca="false">DATE(YEAR(_xlfn.MINIFS($E$5:$E$281,$B$5:$B$281,B202)),MONTH(_xlfn.MINIFS($E$5:$E$281,$B$5:$B$281,B202)),1)</f>
        <v>45505</v>
      </c>
      <c r="H202" s="4" t="n">
        <f aca="false">(YEAR(E202)-YEAR(G202))*12+(MONTH(E202)-MONTH(G202))</f>
        <v>0</v>
      </c>
    </row>
    <row r="203" customFormat="false" ht="15" hidden="false" customHeight="false" outlineLevel="0" collapsed="false">
      <c r="A203" s="4" t="n">
        <v>5178</v>
      </c>
      <c r="B203" s="4" t="s">
        <v>137</v>
      </c>
      <c r="C203" s="4" t="s">
        <v>138</v>
      </c>
      <c r="D203" s="4" t="s">
        <v>21</v>
      </c>
      <c r="E203" s="5" t="n">
        <v>45534</v>
      </c>
      <c r="F203" s="6" t="n">
        <v>56.71</v>
      </c>
      <c r="G203" s="7" t="n">
        <f aca="false">DATE(YEAR(_xlfn.MINIFS($E$5:$E$281,$B$5:$B$281,B203)),MONTH(_xlfn.MINIFS($E$5:$E$281,$B$5:$B$281,B203)),1)</f>
        <v>45505</v>
      </c>
      <c r="H203" s="4" t="n">
        <f aca="false">(YEAR(E203)-YEAR(G203))*12+(MONTH(E203)-MONTH(G203))</f>
        <v>0</v>
      </c>
    </row>
    <row r="204" customFormat="false" ht="15" hidden="false" customHeight="false" outlineLevel="0" collapsed="false">
      <c r="A204" s="4" t="n">
        <v>5133</v>
      </c>
      <c r="B204" s="4" t="s">
        <v>153</v>
      </c>
      <c r="C204" s="4" t="s">
        <v>154</v>
      </c>
      <c r="D204" s="4" t="s">
        <v>24</v>
      </c>
      <c r="E204" s="5" t="n">
        <v>45534</v>
      </c>
      <c r="F204" s="6" t="n">
        <v>122.58</v>
      </c>
      <c r="G204" s="7" t="n">
        <f aca="false">DATE(YEAR(_xlfn.MINIFS($E$5:$E$281,$B$5:$B$281,B204)),MONTH(_xlfn.MINIFS($E$5:$E$281,$B$5:$B$281,B204)),1)</f>
        <v>45505</v>
      </c>
      <c r="H204" s="4" t="n">
        <f aca="false">(YEAR(E204)-YEAR(G204))*12+(MONTH(E204)-MONTH(G204))</f>
        <v>0</v>
      </c>
    </row>
    <row r="205" customFormat="false" ht="15" hidden="false" customHeight="false" outlineLevel="0" collapsed="false">
      <c r="A205" s="4" t="n">
        <v>5235</v>
      </c>
      <c r="B205" s="4" t="s">
        <v>87</v>
      </c>
      <c r="C205" s="4" t="s">
        <v>88</v>
      </c>
      <c r="D205" s="4" t="s">
        <v>18</v>
      </c>
      <c r="E205" s="5" t="n">
        <v>45535</v>
      </c>
      <c r="F205" s="6" t="n">
        <v>24.9</v>
      </c>
      <c r="G205" s="7" t="n">
        <f aca="false">DATE(YEAR(_xlfn.MINIFS($E$5:$E$281,$B$5:$B$281,B205)),MONTH(_xlfn.MINIFS($E$5:$E$281,$B$5:$B$281,B205)),1)</f>
        <v>45413</v>
      </c>
      <c r="H205" s="4" t="n">
        <f aca="false">(YEAR(E205)-YEAR(G205))*12+(MONTH(E205)-MONTH(G205))</f>
        <v>3</v>
      </c>
    </row>
    <row r="206" customFormat="false" ht="15" hidden="false" customHeight="false" outlineLevel="0" collapsed="false">
      <c r="A206" s="4" t="n">
        <v>5151</v>
      </c>
      <c r="B206" s="4" t="s">
        <v>109</v>
      </c>
      <c r="C206" s="4" t="s">
        <v>110</v>
      </c>
      <c r="D206" s="4" t="s">
        <v>21</v>
      </c>
      <c r="E206" s="5" t="n">
        <v>45535</v>
      </c>
      <c r="F206" s="6" t="n">
        <v>110.48</v>
      </c>
      <c r="G206" s="7" t="n">
        <f aca="false">DATE(YEAR(_xlfn.MINIFS($E$5:$E$281,$B$5:$B$281,B206)),MONTH(_xlfn.MINIFS($E$5:$E$281,$B$5:$B$281,B206)),1)</f>
        <v>45444</v>
      </c>
      <c r="H206" s="4" t="n">
        <f aca="false">(YEAR(E206)-YEAR(G206))*12+(MONTH(E206)-MONTH(G206))</f>
        <v>2</v>
      </c>
    </row>
    <row r="207" customFormat="false" ht="15" hidden="false" customHeight="false" outlineLevel="0" collapsed="false">
      <c r="A207" s="4" t="n">
        <v>5247</v>
      </c>
      <c r="B207" s="4" t="s">
        <v>149</v>
      </c>
      <c r="C207" s="4" t="s">
        <v>150</v>
      </c>
      <c r="D207" s="4" t="s">
        <v>21</v>
      </c>
      <c r="E207" s="5" t="n">
        <v>45535</v>
      </c>
      <c r="F207" s="6" t="n">
        <v>17.36</v>
      </c>
      <c r="G207" s="7" t="n">
        <f aca="false">DATE(YEAR(_xlfn.MINIFS($E$5:$E$281,$B$5:$B$281,B207)),MONTH(_xlfn.MINIFS($E$5:$E$281,$B$5:$B$281,B207)),1)</f>
        <v>45505</v>
      </c>
      <c r="H207" s="4" t="n">
        <f aca="false">(YEAR(E207)-YEAR(G207))*12+(MONTH(E207)-MONTH(G207))</f>
        <v>0</v>
      </c>
    </row>
    <row r="208" customFormat="false" ht="15" hidden="false" customHeight="false" outlineLevel="0" collapsed="false">
      <c r="A208" s="4" t="n">
        <v>5190</v>
      </c>
      <c r="B208" s="4" t="s">
        <v>57</v>
      </c>
      <c r="C208" s="4" t="s">
        <v>58</v>
      </c>
      <c r="D208" s="4" t="s">
        <v>21</v>
      </c>
      <c r="E208" s="5" t="n">
        <v>45536</v>
      </c>
      <c r="F208" s="6" t="n">
        <v>25.6</v>
      </c>
      <c r="G208" s="7" t="n">
        <f aca="false">DATE(YEAR(_xlfn.MINIFS($E$5:$E$281,$B$5:$B$281,B208)),MONTH(_xlfn.MINIFS($E$5:$E$281,$B$5:$B$281,B208)),1)</f>
        <v>45352</v>
      </c>
      <c r="H208" s="4" t="n">
        <f aca="false">(YEAR(E208)-YEAR(G208))*12+(MONTH(E208)-MONTH(G208))</f>
        <v>6</v>
      </c>
    </row>
    <row r="209" customFormat="false" ht="15" hidden="false" customHeight="false" outlineLevel="0" collapsed="false">
      <c r="A209" s="4" t="n">
        <v>5040</v>
      </c>
      <c r="B209" s="4" t="s">
        <v>97</v>
      </c>
      <c r="C209" s="4" t="s">
        <v>98</v>
      </c>
      <c r="D209" s="4" t="s">
        <v>15</v>
      </c>
      <c r="E209" s="5" t="n">
        <v>45537</v>
      </c>
      <c r="F209" s="6" t="n">
        <v>95.77</v>
      </c>
      <c r="G209" s="7" t="n">
        <f aca="false">DATE(YEAR(_xlfn.MINIFS($E$5:$E$281,$B$5:$B$281,B209)),MONTH(_xlfn.MINIFS($E$5:$E$281,$B$5:$B$281,B209)),1)</f>
        <v>45444</v>
      </c>
      <c r="H209" s="4" t="n">
        <f aca="false">(YEAR(E209)-YEAR(G209))*12+(MONTH(E209)-MONTH(G209))</f>
        <v>3</v>
      </c>
    </row>
    <row r="210" customFormat="false" ht="15" hidden="false" customHeight="false" outlineLevel="0" collapsed="false">
      <c r="A210" s="4" t="n">
        <v>5096</v>
      </c>
      <c r="B210" s="4" t="s">
        <v>63</v>
      </c>
      <c r="C210" s="4" t="s">
        <v>64</v>
      </c>
      <c r="D210" s="4" t="s">
        <v>18</v>
      </c>
      <c r="E210" s="5" t="n">
        <v>45538</v>
      </c>
      <c r="F210" s="6" t="n">
        <v>50.81</v>
      </c>
      <c r="G210" s="7" t="n">
        <f aca="false">DATE(YEAR(_xlfn.MINIFS($E$5:$E$281,$B$5:$B$281,B210)),MONTH(_xlfn.MINIFS($E$5:$E$281,$B$5:$B$281,B210)),1)</f>
        <v>45352</v>
      </c>
      <c r="H210" s="4" t="n">
        <f aca="false">(YEAR(E210)-YEAR(G210))*12+(MONTH(E210)-MONTH(G210))</f>
        <v>6</v>
      </c>
    </row>
    <row r="211" customFormat="false" ht="15" hidden="false" customHeight="false" outlineLevel="0" collapsed="false">
      <c r="A211" s="4" t="n">
        <v>5160</v>
      </c>
      <c r="B211" s="4" t="s">
        <v>69</v>
      </c>
      <c r="C211" s="4" t="s">
        <v>70</v>
      </c>
      <c r="D211" s="4" t="s">
        <v>15</v>
      </c>
      <c r="E211" s="5" t="n">
        <v>45539</v>
      </c>
      <c r="F211" s="6" t="n">
        <v>217.5</v>
      </c>
      <c r="G211" s="7" t="n">
        <f aca="false">DATE(YEAR(_xlfn.MINIFS($E$5:$E$281,$B$5:$B$281,B211)),MONTH(_xlfn.MINIFS($E$5:$E$281,$B$5:$B$281,B211)),1)</f>
        <v>45383</v>
      </c>
      <c r="H211" s="4" t="n">
        <f aca="false">(YEAR(E211)-YEAR(G211))*12+(MONTH(E211)-MONTH(G211))</f>
        <v>5</v>
      </c>
    </row>
    <row r="212" customFormat="false" ht="15" hidden="false" customHeight="false" outlineLevel="0" collapsed="false">
      <c r="A212" s="4" t="n">
        <v>5203</v>
      </c>
      <c r="B212" s="4" t="s">
        <v>93</v>
      </c>
      <c r="C212" s="4" t="s">
        <v>94</v>
      </c>
      <c r="D212" s="4" t="s">
        <v>24</v>
      </c>
      <c r="E212" s="5" t="n">
        <v>45540</v>
      </c>
      <c r="F212" s="6" t="n">
        <v>65.65</v>
      </c>
      <c r="G212" s="7" t="n">
        <f aca="false">DATE(YEAR(_xlfn.MINIFS($E$5:$E$281,$B$5:$B$281,B212)),MONTH(_xlfn.MINIFS($E$5:$E$281,$B$5:$B$281,B212)),1)</f>
        <v>45413</v>
      </c>
      <c r="H212" s="4" t="n">
        <f aca="false">(YEAR(E212)-YEAR(G212))*12+(MONTH(E212)-MONTH(G212))</f>
        <v>4</v>
      </c>
    </row>
    <row r="213" customFormat="false" ht="15" hidden="false" customHeight="false" outlineLevel="0" collapsed="false">
      <c r="A213" s="4" t="n">
        <v>5039</v>
      </c>
      <c r="B213" s="4" t="s">
        <v>97</v>
      </c>
      <c r="C213" s="4" t="s">
        <v>98</v>
      </c>
      <c r="D213" s="4" t="s">
        <v>15</v>
      </c>
      <c r="E213" s="5" t="n">
        <v>45540</v>
      </c>
      <c r="F213" s="6" t="n">
        <v>96.9</v>
      </c>
      <c r="G213" s="7" t="n">
        <f aca="false">DATE(YEAR(_xlfn.MINIFS($E$5:$E$281,$B$5:$B$281,B213)),MONTH(_xlfn.MINIFS($E$5:$E$281,$B$5:$B$281,B213)),1)</f>
        <v>45444</v>
      </c>
      <c r="H213" s="4" t="n">
        <f aca="false">(YEAR(E213)-YEAR(G213))*12+(MONTH(E213)-MONTH(G213))</f>
        <v>3</v>
      </c>
    </row>
    <row r="214" customFormat="false" ht="15" hidden="false" customHeight="false" outlineLevel="0" collapsed="false">
      <c r="A214" s="4" t="n">
        <v>5140</v>
      </c>
      <c r="B214" s="4" t="s">
        <v>141</v>
      </c>
      <c r="C214" s="4" t="s">
        <v>142</v>
      </c>
      <c r="D214" s="4" t="s">
        <v>12</v>
      </c>
      <c r="E214" s="5" t="n">
        <v>45542</v>
      </c>
      <c r="F214" s="6" t="n">
        <v>91.41</v>
      </c>
      <c r="G214" s="7" t="n">
        <f aca="false">DATE(YEAR(_xlfn.MINIFS($E$5:$E$281,$B$5:$B$281,B214)),MONTH(_xlfn.MINIFS($E$5:$E$281,$B$5:$B$281,B214)),1)</f>
        <v>45505</v>
      </c>
      <c r="H214" s="4" t="n">
        <f aca="false">(YEAR(E214)-YEAR(G214))*12+(MONTH(E214)-MONTH(G214))</f>
        <v>1</v>
      </c>
    </row>
    <row r="215" customFormat="false" ht="15" hidden="false" customHeight="false" outlineLevel="0" collapsed="false">
      <c r="A215" s="4" t="n">
        <v>5081</v>
      </c>
      <c r="B215" s="4" t="s">
        <v>139</v>
      </c>
      <c r="C215" s="4" t="s">
        <v>140</v>
      </c>
      <c r="D215" s="4" t="s">
        <v>18</v>
      </c>
      <c r="E215" s="5" t="n">
        <v>45543</v>
      </c>
      <c r="F215" s="6" t="n">
        <v>214.06</v>
      </c>
      <c r="G215" s="7" t="n">
        <f aca="false">DATE(YEAR(_xlfn.MINIFS($E$5:$E$281,$B$5:$B$281,B215)),MONTH(_xlfn.MINIFS($E$5:$E$281,$B$5:$B$281,B215)),1)</f>
        <v>45505</v>
      </c>
      <c r="H215" s="4" t="n">
        <f aca="false">(YEAR(E215)-YEAR(G215))*12+(MONTH(E215)-MONTH(G215))</f>
        <v>1</v>
      </c>
    </row>
    <row r="216" customFormat="false" ht="15" hidden="false" customHeight="false" outlineLevel="0" collapsed="false">
      <c r="A216" s="4" t="n">
        <v>5244</v>
      </c>
      <c r="B216" s="4" t="s">
        <v>73</v>
      </c>
      <c r="C216" s="4" t="s">
        <v>74</v>
      </c>
      <c r="D216" s="4" t="s">
        <v>12</v>
      </c>
      <c r="E216" s="5" t="n">
        <v>45543</v>
      </c>
      <c r="F216" s="6" t="n">
        <v>160.03</v>
      </c>
      <c r="G216" s="7" t="n">
        <f aca="false">DATE(YEAR(_xlfn.MINIFS($E$5:$E$281,$B$5:$B$281,B216)),MONTH(_xlfn.MINIFS($E$5:$E$281,$B$5:$B$281,B216)),1)</f>
        <v>45383</v>
      </c>
      <c r="H216" s="4" t="n">
        <f aca="false">(YEAR(E216)-YEAR(G216))*12+(MONTH(E216)-MONTH(G216))</f>
        <v>5</v>
      </c>
    </row>
    <row r="217" customFormat="false" ht="15" hidden="false" customHeight="false" outlineLevel="0" collapsed="false">
      <c r="A217" s="4" t="n">
        <v>5118</v>
      </c>
      <c r="B217" s="4" t="s">
        <v>129</v>
      </c>
      <c r="C217" s="4" t="s">
        <v>130</v>
      </c>
      <c r="D217" s="4" t="s">
        <v>15</v>
      </c>
      <c r="E217" s="5" t="n">
        <v>45550</v>
      </c>
      <c r="F217" s="6" t="n">
        <v>72.11</v>
      </c>
      <c r="G217" s="7" t="n">
        <f aca="false">DATE(YEAR(_xlfn.MINIFS($E$5:$E$281,$B$5:$B$281,B217)),MONTH(_xlfn.MINIFS($E$5:$E$281,$B$5:$B$281,B217)),1)</f>
        <v>45474</v>
      </c>
      <c r="H217" s="4" t="n">
        <f aca="false">(YEAR(E217)-YEAR(G217))*12+(MONTH(E217)-MONTH(G217))</f>
        <v>2</v>
      </c>
    </row>
    <row r="218" customFormat="false" ht="15" hidden="false" customHeight="false" outlineLevel="0" collapsed="false">
      <c r="A218" s="4" t="n">
        <v>5245</v>
      </c>
      <c r="B218" s="4" t="s">
        <v>73</v>
      </c>
      <c r="C218" s="4" t="s">
        <v>74</v>
      </c>
      <c r="D218" s="4" t="s">
        <v>12</v>
      </c>
      <c r="E218" s="5" t="n">
        <v>45550</v>
      </c>
      <c r="F218" s="6" t="n">
        <v>34.64</v>
      </c>
      <c r="G218" s="7" t="n">
        <f aca="false">DATE(YEAR(_xlfn.MINIFS($E$5:$E$281,$B$5:$B$281,B218)),MONTH(_xlfn.MINIFS($E$5:$E$281,$B$5:$B$281,B218)),1)</f>
        <v>45383</v>
      </c>
      <c r="H218" s="4" t="n">
        <f aca="false">(YEAR(E218)-YEAR(G218))*12+(MONTH(E218)-MONTH(G218))</f>
        <v>5</v>
      </c>
    </row>
    <row r="219" customFormat="false" ht="15" hidden="false" customHeight="false" outlineLevel="0" collapsed="false">
      <c r="A219" s="4" t="n">
        <v>5063</v>
      </c>
      <c r="B219" s="4" t="s">
        <v>43</v>
      </c>
      <c r="C219" s="4" t="s">
        <v>44</v>
      </c>
      <c r="D219" s="4" t="s">
        <v>15</v>
      </c>
      <c r="E219" s="5" t="n">
        <v>45551</v>
      </c>
      <c r="F219" s="6" t="n">
        <v>74.63</v>
      </c>
      <c r="G219" s="7" t="n">
        <f aca="false">DATE(YEAR(_xlfn.MINIFS($E$5:$E$281,$B$5:$B$281,B219)),MONTH(_xlfn.MINIFS($E$5:$E$281,$B$5:$B$281,B219)),1)</f>
        <v>45323</v>
      </c>
      <c r="H219" s="4" t="n">
        <f aca="false">(YEAR(E219)-YEAR(G219))*12+(MONTH(E219)-MONTH(G219))</f>
        <v>7</v>
      </c>
    </row>
    <row r="220" customFormat="false" ht="15" hidden="false" customHeight="false" outlineLevel="0" collapsed="false">
      <c r="A220" s="4" t="n">
        <v>5212</v>
      </c>
      <c r="B220" s="4" t="s">
        <v>111</v>
      </c>
      <c r="C220" s="4" t="s">
        <v>112</v>
      </c>
      <c r="D220" s="4" t="s">
        <v>21</v>
      </c>
      <c r="E220" s="5" t="n">
        <v>45551</v>
      </c>
      <c r="F220" s="6" t="n">
        <v>97.07</v>
      </c>
      <c r="G220" s="7" t="n">
        <f aca="false">DATE(YEAR(_xlfn.MINIFS($E$5:$E$281,$B$5:$B$281,B220)),MONTH(_xlfn.MINIFS($E$5:$E$281,$B$5:$B$281,B220)),1)</f>
        <v>45444</v>
      </c>
      <c r="H220" s="4" t="n">
        <f aca="false">(YEAR(E220)-YEAR(G220))*12+(MONTH(E220)-MONTH(G220))</f>
        <v>3</v>
      </c>
    </row>
    <row r="221" customFormat="false" ht="15" hidden="false" customHeight="false" outlineLevel="0" collapsed="false">
      <c r="A221" s="4" t="n">
        <v>5071</v>
      </c>
      <c r="B221" s="4" t="s">
        <v>119</v>
      </c>
      <c r="C221" s="4" t="s">
        <v>120</v>
      </c>
      <c r="D221" s="4" t="s">
        <v>15</v>
      </c>
      <c r="E221" s="5" t="n">
        <v>45551</v>
      </c>
      <c r="F221" s="6" t="n">
        <v>199.03</v>
      </c>
      <c r="G221" s="7" t="n">
        <f aca="false">DATE(YEAR(_xlfn.MINIFS($E$5:$E$281,$B$5:$B$281,B221)),MONTH(_xlfn.MINIFS($E$5:$E$281,$B$5:$B$281,B221)),1)</f>
        <v>45444</v>
      </c>
      <c r="H221" s="4" t="n">
        <f aca="false">(YEAR(E221)-YEAR(G221))*12+(MONTH(E221)-MONTH(G221))</f>
        <v>3</v>
      </c>
    </row>
    <row r="222" customFormat="false" ht="15" hidden="false" customHeight="false" outlineLevel="0" collapsed="false">
      <c r="A222" s="4" t="n">
        <v>5271</v>
      </c>
      <c r="B222" s="4" t="s">
        <v>115</v>
      </c>
      <c r="C222" s="4" t="s">
        <v>116</v>
      </c>
      <c r="D222" s="4" t="s">
        <v>18</v>
      </c>
      <c r="E222" s="5" t="n">
        <v>45553</v>
      </c>
      <c r="F222" s="6" t="n">
        <v>111.25</v>
      </c>
      <c r="G222" s="7" t="n">
        <f aca="false">DATE(YEAR(_xlfn.MINIFS($E$5:$E$281,$B$5:$B$281,B222)),MONTH(_xlfn.MINIFS($E$5:$E$281,$B$5:$B$281,B222)),1)</f>
        <v>45444</v>
      </c>
      <c r="H222" s="4" t="n">
        <f aca="false">(YEAR(E222)-YEAR(G222))*12+(MONTH(E222)-MONTH(G222))</f>
        <v>3</v>
      </c>
    </row>
    <row r="223" customFormat="false" ht="15" hidden="false" customHeight="false" outlineLevel="0" collapsed="false">
      <c r="A223" s="4" t="n">
        <v>5180</v>
      </c>
      <c r="B223" s="4" t="s">
        <v>137</v>
      </c>
      <c r="C223" s="4" t="s">
        <v>138</v>
      </c>
      <c r="D223" s="4" t="s">
        <v>21</v>
      </c>
      <c r="E223" s="5" t="n">
        <v>45555</v>
      </c>
      <c r="F223" s="6" t="n">
        <v>79</v>
      </c>
      <c r="G223" s="7" t="n">
        <f aca="false">DATE(YEAR(_xlfn.MINIFS($E$5:$E$281,$B$5:$B$281,B223)),MONTH(_xlfn.MINIFS($E$5:$E$281,$B$5:$B$281,B223)),1)</f>
        <v>45505</v>
      </c>
      <c r="H223" s="4" t="n">
        <f aca="false">(YEAR(E223)-YEAR(G223))*12+(MONTH(E223)-MONTH(G223))</f>
        <v>1</v>
      </c>
    </row>
    <row r="224" customFormat="false" ht="15" hidden="false" customHeight="false" outlineLevel="0" collapsed="false">
      <c r="A224" s="4" t="n">
        <v>5246</v>
      </c>
      <c r="B224" s="4" t="s">
        <v>73</v>
      </c>
      <c r="C224" s="4" t="s">
        <v>74</v>
      </c>
      <c r="D224" s="4" t="s">
        <v>12</v>
      </c>
      <c r="E224" s="5" t="n">
        <v>45556</v>
      </c>
      <c r="F224" s="6" t="n">
        <v>44.66</v>
      </c>
      <c r="G224" s="7" t="n">
        <f aca="false">DATE(YEAR(_xlfn.MINIFS($E$5:$E$281,$B$5:$B$281,B224)),MONTH(_xlfn.MINIFS($E$5:$E$281,$B$5:$B$281,B224)),1)</f>
        <v>45383</v>
      </c>
      <c r="H224" s="4" t="n">
        <f aca="false">(YEAR(E224)-YEAR(G224))*12+(MONTH(E224)-MONTH(G224))</f>
        <v>5</v>
      </c>
    </row>
    <row r="225" customFormat="false" ht="15" hidden="false" customHeight="false" outlineLevel="0" collapsed="false">
      <c r="A225" s="4" t="n">
        <v>5080</v>
      </c>
      <c r="B225" s="4" t="s">
        <v>139</v>
      </c>
      <c r="C225" s="4" t="s">
        <v>140</v>
      </c>
      <c r="D225" s="4" t="s">
        <v>18</v>
      </c>
      <c r="E225" s="5" t="n">
        <v>45556</v>
      </c>
      <c r="F225" s="6" t="n">
        <v>206.8</v>
      </c>
      <c r="G225" s="7" t="n">
        <f aca="false">DATE(YEAR(_xlfn.MINIFS($E$5:$E$281,$B$5:$B$281,B225)),MONTH(_xlfn.MINIFS($E$5:$E$281,$B$5:$B$281,B225)),1)</f>
        <v>45505</v>
      </c>
      <c r="H225" s="4" t="n">
        <f aca="false">(YEAR(E225)-YEAR(G225))*12+(MONTH(E225)-MONTH(G225))</f>
        <v>1</v>
      </c>
    </row>
    <row r="226" customFormat="false" ht="15" hidden="false" customHeight="false" outlineLevel="0" collapsed="false">
      <c r="A226" s="4" t="n">
        <v>5236</v>
      </c>
      <c r="B226" s="4" t="s">
        <v>87</v>
      </c>
      <c r="C226" s="4" t="s">
        <v>88</v>
      </c>
      <c r="D226" s="4" t="s">
        <v>18</v>
      </c>
      <c r="E226" s="5" t="n">
        <v>45556</v>
      </c>
      <c r="F226" s="6" t="n">
        <v>213.02</v>
      </c>
      <c r="G226" s="7" t="n">
        <f aca="false">DATE(YEAR(_xlfn.MINIFS($E$5:$E$281,$B$5:$B$281,B226)),MONTH(_xlfn.MINIFS($E$5:$E$281,$B$5:$B$281,B226)),1)</f>
        <v>45413</v>
      </c>
      <c r="H226" s="4" t="n">
        <f aca="false">(YEAR(E226)-YEAR(G226))*12+(MONTH(E226)-MONTH(G226))</f>
        <v>4</v>
      </c>
    </row>
    <row r="227" customFormat="false" ht="15" hidden="false" customHeight="false" outlineLevel="0" collapsed="false">
      <c r="A227" s="4" t="n">
        <v>5270</v>
      </c>
      <c r="B227" s="4" t="s">
        <v>115</v>
      </c>
      <c r="C227" s="4" t="s">
        <v>116</v>
      </c>
      <c r="D227" s="4" t="s">
        <v>18</v>
      </c>
      <c r="E227" s="5" t="n">
        <v>45557</v>
      </c>
      <c r="F227" s="6" t="n">
        <v>187.51</v>
      </c>
      <c r="G227" s="7" t="n">
        <f aca="false">DATE(YEAR(_xlfn.MINIFS($E$5:$E$281,$B$5:$B$281,B227)),MONTH(_xlfn.MINIFS($E$5:$E$281,$B$5:$B$281,B227)),1)</f>
        <v>45444</v>
      </c>
      <c r="H227" s="4" t="n">
        <f aca="false">(YEAR(E227)-YEAR(G227))*12+(MONTH(E227)-MONTH(G227))</f>
        <v>3</v>
      </c>
    </row>
    <row r="228" customFormat="false" ht="15" hidden="false" customHeight="false" outlineLevel="0" collapsed="false">
      <c r="A228" s="4" t="n">
        <v>5070</v>
      </c>
      <c r="B228" s="4" t="s">
        <v>119</v>
      </c>
      <c r="C228" s="4" t="s">
        <v>120</v>
      </c>
      <c r="D228" s="4" t="s">
        <v>15</v>
      </c>
      <c r="E228" s="5" t="n">
        <v>45558</v>
      </c>
      <c r="F228" s="6" t="n">
        <v>89.86</v>
      </c>
      <c r="G228" s="7" t="n">
        <f aca="false">DATE(YEAR(_xlfn.MINIFS($E$5:$E$281,$B$5:$B$281,B228)),MONTH(_xlfn.MINIFS($E$5:$E$281,$B$5:$B$281,B228)),1)</f>
        <v>45444</v>
      </c>
      <c r="H228" s="4" t="n">
        <f aca="false">(YEAR(E228)-YEAR(G228))*12+(MONTH(E228)-MONTH(G228))</f>
        <v>3</v>
      </c>
    </row>
    <row r="229" customFormat="false" ht="15" hidden="false" customHeight="false" outlineLevel="0" collapsed="false">
      <c r="A229" s="4" t="n">
        <v>5062</v>
      </c>
      <c r="B229" s="4" t="s">
        <v>43</v>
      </c>
      <c r="C229" s="4" t="s">
        <v>44</v>
      </c>
      <c r="D229" s="4" t="s">
        <v>15</v>
      </c>
      <c r="E229" s="5" t="n">
        <v>45558</v>
      </c>
      <c r="F229" s="6" t="n">
        <v>59.63</v>
      </c>
      <c r="G229" s="7" t="n">
        <f aca="false">DATE(YEAR(_xlfn.MINIFS($E$5:$E$281,$B$5:$B$281,B229)),MONTH(_xlfn.MINIFS($E$5:$E$281,$B$5:$B$281,B229)),1)</f>
        <v>45323</v>
      </c>
      <c r="H229" s="4" t="n">
        <f aca="false">(YEAR(E229)-YEAR(G229))*12+(MONTH(E229)-MONTH(G229))</f>
        <v>7</v>
      </c>
    </row>
    <row r="230" customFormat="false" ht="15" hidden="false" customHeight="false" outlineLevel="0" collapsed="false">
      <c r="A230" s="4" t="n">
        <v>5110</v>
      </c>
      <c r="B230" s="4" t="s">
        <v>145</v>
      </c>
      <c r="C230" s="4" t="s">
        <v>146</v>
      </c>
      <c r="D230" s="4" t="s">
        <v>24</v>
      </c>
      <c r="E230" s="5" t="n">
        <v>45558</v>
      </c>
      <c r="F230" s="6" t="n">
        <v>147.71</v>
      </c>
      <c r="G230" s="7" t="n">
        <f aca="false">DATE(YEAR(_xlfn.MINIFS($E$5:$E$281,$B$5:$B$281,B230)),MONTH(_xlfn.MINIFS($E$5:$E$281,$B$5:$B$281,B230)),1)</f>
        <v>45505</v>
      </c>
      <c r="H230" s="4" t="n">
        <f aca="false">(YEAR(E230)-YEAR(G230))*12+(MONTH(E230)-MONTH(G230))</f>
        <v>1</v>
      </c>
    </row>
    <row r="231" customFormat="false" ht="15" hidden="false" customHeight="false" outlineLevel="0" collapsed="false">
      <c r="A231" s="4" t="n">
        <v>5111</v>
      </c>
      <c r="B231" s="4" t="s">
        <v>145</v>
      </c>
      <c r="C231" s="4" t="s">
        <v>146</v>
      </c>
      <c r="D231" s="4" t="s">
        <v>24</v>
      </c>
      <c r="E231" s="5" t="n">
        <v>45560</v>
      </c>
      <c r="F231" s="6" t="n">
        <v>198.45</v>
      </c>
      <c r="G231" s="7" t="n">
        <f aca="false">DATE(YEAR(_xlfn.MINIFS($E$5:$E$281,$B$5:$B$281,B231)),MONTH(_xlfn.MINIFS($E$5:$E$281,$B$5:$B$281,B231)),1)</f>
        <v>45505</v>
      </c>
      <c r="H231" s="4" t="n">
        <f aca="false">(YEAR(E231)-YEAR(G231))*12+(MONTH(E231)-MONTH(G231))</f>
        <v>1</v>
      </c>
    </row>
    <row r="232" customFormat="false" ht="15" hidden="false" customHeight="false" outlineLevel="0" collapsed="false">
      <c r="A232" s="4" t="n">
        <v>5262</v>
      </c>
      <c r="B232" s="4" t="s">
        <v>47</v>
      </c>
      <c r="C232" s="4" t="s">
        <v>48</v>
      </c>
      <c r="D232" s="4" t="s">
        <v>15</v>
      </c>
      <c r="E232" s="5" t="n">
        <v>45563</v>
      </c>
      <c r="F232" s="6" t="n">
        <v>68.98</v>
      </c>
      <c r="G232" s="7" t="n">
        <f aca="false">DATE(YEAR(_xlfn.MINIFS($E$5:$E$281,$B$5:$B$281,B232)),MONTH(_xlfn.MINIFS($E$5:$E$281,$B$5:$B$281,B232)),1)</f>
        <v>45323</v>
      </c>
      <c r="H232" s="4" t="n">
        <f aca="false">(YEAR(E232)-YEAR(G232))*12+(MONTH(E232)-MONTH(G232))</f>
        <v>7</v>
      </c>
    </row>
    <row r="233" customFormat="false" ht="15" hidden="false" customHeight="false" outlineLevel="0" collapsed="false">
      <c r="A233" s="4" t="n">
        <v>5261</v>
      </c>
      <c r="B233" s="4" t="s">
        <v>47</v>
      </c>
      <c r="C233" s="4" t="s">
        <v>48</v>
      </c>
      <c r="D233" s="4" t="s">
        <v>15</v>
      </c>
      <c r="E233" s="5" t="n">
        <v>45565</v>
      </c>
      <c r="F233" s="6" t="n">
        <v>157.5</v>
      </c>
      <c r="G233" s="7" t="n">
        <f aca="false">DATE(YEAR(_xlfn.MINIFS($E$5:$E$281,$B$5:$B$281,B233)),MONTH(_xlfn.MINIFS($E$5:$E$281,$B$5:$B$281,B233)),1)</f>
        <v>45323</v>
      </c>
      <c r="H233" s="4" t="n">
        <f aca="false">(YEAR(E233)-YEAR(G233))*12+(MONTH(E233)-MONTH(G233))</f>
        <v>7</v>
      </c>
    </row>
    <row r="234" customFormat="false" ht="15" hidden="false" customHeight="false" outlineLevel="0" collapsed="false">
      <c r="A234" s="4" t="n">
        <v>5141</v>
      </c>
      <c r="B234" s="4" t="s">
        <v>141</v>
      </c>
      <c r="C234" s="4" t="s">
        <v>142</v>
      </c>
      <c r="D234" s="4" t="s">
        <v>12</v>
      </c>
      <c r="E234" s="5" t="n">
        <v>45565</v>
      </c>
      <c r="F234" s="6" t="n">
        <v>106.5</v>
      </c>
      <c r="G234" s="7" t="n">
        <f aca="false">DATE(YEAR(_xlfn.MINIFS($E$5:$E$281,$B$5:$B$281,B234)),MONTH(_xlfn.MINIFS($E$5:$E$281,$B$5:$B$281,B234)),1)</f>
        <v>45505</v>
      </c>
      <c r="H234" s="4" t="n">
        <f aca="false">(YEAR(E234)-YEAR(G234))*12+(MONTH(E234)-MONTH(G234))</f>
        <v>1</v>
      </c>
    </row>
    <row r="235" customFormat="false" ht="15" hidden="false" customHeight="false" outlineLevel="0" collapsed="false">
      <c r="A235" s="4" t="n">
        <v>5072</v>
      </c>
      <c r="B235" s="4" t="s">
        <v>119</v>
      </c>
      <c r="C235" s="4" t="s">
        <v>120</v>
      </c>
      <c r="D235" s="4" t="s">
        <v>15</v>
      </c>
      <c r="E235" s="5" t="n">
        <v>45566</v>
      </c>
      <c r="F235" s="6" t="n">
        <v>209.74</v>
      </c>
      <c r="G235" s="7" t="n">
        <f aca="false">DATE(YEAR(_xlfn.MINIFS($E$5:$E$281,$B$5:$B$281,B235)),MONTH(_xlfn.MINIFS($E$5:$E$281,$B$5:$B$281,B235)),1)</f>
        <v>45444</v>
      </c>
      <c r="H235" s="4" t="n">
        <f aca="false">(YEAR(E235)-YEAR(G235))*12+(MONTH(E235)-MONTH(G235))</f>
        <v>4</v>
      </c>
    </row>
    <row r="236" customFormat="false" ht="15" hidden="false" customHeight="false" outlineLevel="0" collapsed="false">
      <c r="A236" s="4" t="n">
        <v>5112</v>
      </c>
      <c r="B236" s="4" t="s">
        <v>145</v>
      </c>
      <c r="C236" s="4" t="s">
        <v>146</v>
      </c>
      <c r="D236" s="4" t="s">
        <v>24</v>
      </c>
      <c r="E236" s="5" t="n">
        <v>45566</v>
      </c>
      <c r="F236" s="6" t="n">
        <v>175.37</v>
      </c>
      <c r="G236" s="7" t="n">
        <f aca="false">DATE(YEAR(_xlfn.MINIFS($E$5:$E$281,$B$5:$B$281,B236)),MONTH(_xlfn.MINIFS($E$5:$E$281,$B$5:$B$281,B236)),1)</f>
        <v>45505</v>
      </c>
      <c r="H236" s="4" t="n">
        <f aca="false">(YEAR(E236)-YEAR(G236))*12+(MONTH(E236)-MONTH(G236))</f>
        <v>2</v>
      </c>
    </row>
    <row r="237" customFormat="false" ht="15" hidden="false" customHeight="false" outlineLevel="0" collapsed="false">
      <c r="A237" s="4" t="n">
        <v>5204</v>
      </c>
      <c r="B237" s="4" t="s">
        <v>93</v>
      </c>
      <c r="C237" s="4" t="s">
        <v>94</v>
      </c>
      <c r="D237" s="4" t="s">
        <v>24</v>
      </c>
      <c r="E237" s="5" t="n">
        <v>45567</v>
      </c>
      <c r="F237" s="6" t="n">
        <v>196.19</v>
      </c>
      <c r="G237" s="7" t="n">
        <f aca="false">DATE(YEAR(_xlfn.MINIFS($E$5:$E$281,$B$5:$B$281,B237)),MONTH(_xlfn.MINIFS($E$5:$E$281,$B$5:$B$281,B237)),1)</f>
        <v>45413</v>
      </c>
      <c r="H237" s="4" t="n">
        <f aca="false">(YEAR(E237)-YEAR(G237))*12+(MONTH(E237)-MONTH(G237))</f>
        <v>5</v>
      </c>
    </row>
    <row r="238" customFormat="false" ht="15" hidden="false" customHeight="false" outlineLevel="0" collapsed="false">
      <c r="A238" s="4" t="n">
        <v>5041</v>
      </c>
      <c r="B238" s="4" t="s">
        <v>97</v>
      </c>
      <c r="C238" s="4" t="s">
        <v>98</v>
      </c>
      <c r="D238" s="4" t="s">
        <v>15</v>
      </c>
      <c r="E238" s="5" t="n">
        <v>45568</v>
      </c>
      <c r="F238" s="6" t="n">
        <v>135.04</v>
      </c>
      <c r="G238" s="7" t="n">
        <f aca="false">DATE(YEAR(_xlfn.MINIFS($E$5:$E$281,$B$5:$B$281,B238)),MONTH(_xlfn.MINIFS($E$5:$E$281,$B$5:$B$281,B238)),1)</f>
        <v>45444</v>
      </c>
      <c r="H238" s="4" t="n">
        <f aca="false">(YEAR(E238)-YEAR(G238))*12+(MONTH(E238)-MONTH(G238))</f>
        <v>4</v>
      </c>
    </row>
    <row r="239" customFormat="false" ht="15" hidden="false" customHeight="false" outlineLevel="0" collapsed="false">
      <c r="A239" s="4" t="n">
        <v>5161</v>
      </c>
      <c r="B239" s="4" t="s">
        <v>69</v>
      </c>
      <c r="C239" s="4" t="s">
        <v>70</v>
      </c>
      <c r="D239" s="4" t="s">
        <v>15</v>
      </c>
      <c r="E239" s="5" t="n">
        <v>45569</v>
      </c>
      <c r="F239" s="6" t="n">
        <v>101.32</v>
      </c>
      <c r="G239" s="7" t="n">
        <f aca="false">DATE(YEAR(_xlfn.MINIFS($E$5:$E$281,$B$5:$B$281,B239)),MONTH(_xlfn.MINIFS($E$5:$E$281,$B$5:$B$281,B239)),1)</f>
        <v>45383</v>
      </c>
      <c r="H239" s="4" t="n">
        <f aca="false">(YEAR(E239)-YEAR(G239))*12+(MONTH(E239)-MONTH(G239))</f>
        <v>6</v>
      </c>
    </row>
    <row r="240" customFormat="false" ht="15" hidden="false" customHeight="false" outlineLevel="0" collapsed="false">
      <c r="A240" s="4" t="n">
        <v>5113</v>
      </c>
      <c r="B240" s="4" t="s">
        <v>145</v>
      </c>
      <c r="C240" s="4" t="s">
        <v>146</v>
      </c>
      <c r="D240" s="4" t="s">
        <v>24</v>
      </c>
      <c r="E240" s="5" t="n">
        <v>45573</v>
      </c>
      <c r="F240" s="6" t="n">
        <v>131.72</v>
      </c>
      <c r="G240" s="7" t="n">
        <f aca="false">DATE(YEAR(_xlfn.MINIFS($E$5:$E$281,$B$5:$B$281,B240)),MONTH(_xlfn.MINIFS($E$5:$E$281,$B$5:$B$281,B240)),1)</f>
        <v>45505</v>
      </c>
      <c r="H240" s="4" t="n">
        <f aca="false">(YEAR(E240)-YEAR(G240))*12+(MONTH(E240)-MONTH(G240))</f>
        <v>2</v>
      </c>
    </row>
    <row r="241" customFormat="false" ht="15" hidden="false" customHeight="false" outlineLevel="0" collapsed="false">
      <c r="A241" s="4" t="n">
        <v>5119</v>
      </c>
      <c r="B241" s="4" t="s">
        <v>129</v>
      </c>
      <c r="C241" s="4" t="s">
        <v>130</v>
      </c>
      <c r="D241" s="4" t="s">
        <v>15</v>
      </c>
      <c r="E241" s="5" t="n">
        <v>45573</v>
      </c>
      <c r="F241" s="6" t="n">
        <v>112.44</v>
      </c>
      <c r="G241" s="7" t="n">
        <f aca="false">DATE(YEAR(_xlfn.MINIFS($E$5:$E$281,$B$5:$B$281,B241)),MONTH(_xlfn.MINIFS($E$5:$E$281,$B$5:$B$281,B241)),1)</f>
        <v>45474</v>
      </c>
      <c r="H241" s="4" t="n">
        <f aca="false">(YEAR(E241)-YEAR(G241))*12+(MONTH(E241)-MONTH(G241))</f>
        <v>3</v>
      </c>
    </row>
    <row r="242" customFormat="false" ht="15" hidden="false" customHeight="false" outlineLevel="0" collapsed="false">
      <c r="A242" s="4" t="n">
        <v>5120</v>
      </c>
      <c r="B242" s="4" t="s">
        <v>129</v>
      </c>
      <c r="C242" s="4" t="s">
        <v>130</v>
      </c>
      <c r="D242" s="4" t="s">
        <v>15</v>
      </c>
      <c r="E242" s="5" t="n">
        <v>45573</v>
      </c>
      <c r="F242" s="6" t="n">
        <v>127.14</v>
      </c>
      <c r="G242" s="7" t="n">
        <f aca="false">DATE(YEAR(_xlfn.MINIFS($E$5:$E$281,$B$5:$B$281,B242)),MONTH(_xlfn.MINIFS($E$5:$E$281,$B$5:$B$281,B242)),1)</f>
        <v>45474</v>
      </c>
      <c r="H242" s="4" t="n">
        <f aca="false">(YEAR(E242)-YEAR(G242))*12+(MONTH(E242)-MONTH(G242))</f>
        <v>3</v>
      </c>
    </row>
    <row r="243" customFormat="false" ht="15" hidden="false" customHeight="false" outlineLevel="0" collapsed="false">
      <c r="A243" s="4" t="n">
        <v>5097</v>
      </c>
      <c r="B243" s="4" t="s">
        <v>63</v>
      </c>
      <c r="C243" s="4" t="s">
        <v>64</v>
      </c>
      <c r="D243" s="4" t="s">
        <v>18</v>
      </c>
      <c r="E243" s="5" t="n">
        <v>45577</v>
      </c>
      <c r="F243" s="6" t="n">
        <v>67.96</v>
      </c>
      <c r="G243" s="7" t="n">
        <f aca="false">DATE(YEAR(_xlfn.MINIFS($E$5:$E$281,$B$5:$B$281,B243)),MONTH(_xlfn.MINIFS($E$5:$E$281,$B$5:$B$281,B243)),1)</f>
        <v>45352</v>
      </c>
      <c r="H243" s="4" t="n">
        <f aca="false">(YEAR(E243)-YEAR(G243))*12+(MONTH(E243)-MONTH(G243))</f>
        <v>7</v>
      </c>
    </row>
    <row r="244" customFormat="false" ht="15" hidden="false" customHeight="false" outlineLevel="0" collapsed="false">
      <c r="A244" s="4" t="n">
        <v>5213</v>
      </c>
      <c r="B244" s="4" t="s">
        <v>111</v>
      </c>
      <c r="C244" s="4" t="s">
        <v>112</v>
      </c>
      <c r="D244" s="4" t="s">
        <v>21</v>
      </c>
      <c r="E244" s="5" t="n">
        <v>45577</v>
      </c>
      <c r="F244" s="6" t="n">
        <v>33.8</v>
      </c>
      <c r="G244" s="7" t="n">
        <f aca="false">DATE(YEAR(_xlfn.MINIFS($E$5:$E$281,$B$5:$B$281,B244)),MONTH(_xlfn.MINIFS($E$5:$E$281,$B$5:$B$281,B244)),1)</f>
        <v>45444</v>
      </c>
      <c r="H244" s="4" t="n">
        <f aca="false">(YEAR(E244)-YEAR(G244))*12+(MONTH(E244)-MONTH(G244))</f>
        <v>4</v>
      </c>
    </row>
    <row r="245" customFormat="false" ht="15" hidden="false" customHeight="false" outlineLevel="0" collapsed="false">
      <c r="A245" s="4" t="n">
        <v>5191</v>
      </c>
      <c r="B245" s="4" t="s">
        <v>57</v>
      </c>
      <c r="C245" s="4" t="s">
        <v>58</v>
      </c>
      <c r="D245" s="4" t="s">
        <v>21</v>
      </c>
      <c r="E245" s="5" t="n">
        <v>45578</v>
      </c>
      <c r="F245" s="6" t="n">
        <v>33.25</v>
      </c>
      <c r="G245" s="7" t="n">
        <f aca="false">DATE(YEAR(_xlfn.MINIFS($E$5:$E$281,$B$5:$B$281,B245)),MONTH(_xlfn.MINIFS($E$5:$E$281,$B$5:$B$281,B245)),1)</f>
        <v>45352</v>
      </c>
      <c r="H245" s="4" t="n">
        <f aca="false">(YEAR(E245)-YEAR(G245))*12+(MONTH(E245)-MONTH(G245))</f>
        <v>7</v>
      </c>
    </row>
    <row r="246" customFormat="false" ht="15" hidden="false" customHeight="false" outlineLevel="0" collapsed="false">
      <c r="A246" s="4" t="n">
        <v>5182</v>
      </c>
      <c r="B246" s="4" t="s">
        <v>137</v>
      </c>
      <c r="C246" s="4" t="s">
        <v>138</v>
      </c>
      <c r="D246" s="4" t="s">
        <v>21</v>
      </c>
      <c r="E246" s="5" t="n">
        <v>45579</v>
      </c>
      <c r="F246" s="6" t="n">
        <v>35.78</v>
      </c>
      <c r="G246" s="7" t="n">
        <f aca="false">DATE(YEAR(_xlfn.MINIFS($E$5:$E$281,$B$5:$B$281,B246)),MONTH(_xlfn.MINIFS($E$5:$E$281,$B$5:$B$281,B246)),1)</f>
        <v>45505</v>
      </c>
      <c r="H246" s="4" t="n">
        <f aca="false">(YEAR(E246)-YEAR(G246))*12+(MONTH(E246)-MONTH(G246))</f>
        <v>2</v>
      </c>
    </row>
    <row r="247" customFormat="false" ht="15" hidden="false" customHeight="false" outlineLevel="0" collapsed="false">
      <c r="A247" s="4" t="n">
        <v>5064</v>
      </c>
      <c r="B247" s="4" t="s">
        <v>43</v>
      </c>
      <c r="C247" s="4" t="s">
        <v>44</v>
      </c>
      <c r="D247" s="4" t="s">
        <v>15</v>
      </c>
      <c r="E247" s="5" t="n">
        <v>45580</v>
      </c>
      <c r="F247" s="6" t="n">
        <v>172.27</v>
      </c>
      <c r="G247" s="7" t="n">
        <f aca="false">DATE(YEAR(_xlfn.MINIFS($E$5:$E$281,$B$5:$B$281,B247)),MONTH(_xlfn.MINIFS($E$5:$E$281,$B$5:$B$281,B247)),1)</f>
        <v>45323</v>
      </c>
      <c r="H247" s="4" t="n">
        <f aca="false">(YEAR(E247)-YEAR(G247))*12+(MONTH(E247)-MONTH(G247))</f>
        <v>8</v>
      </c>
    </row>
    <row r="248" customFormat="false" ht="15" hidden="false" customHeight="false" outlineLevel="0" collapsed="false">
      <c r="A248" s="4" t="n">
        <v>5181</v>
      </c>
      <c r="B248" s="4" t="s">
        <v>137</v>
      </c>
      <c r="C248" s="4" t="s">
        <v>138</v>
      </c>
      <c r="D248" s="4" t="s">
        <v>21</v>
      </c>
      <c r="E248" s="5" t="n">
        <v>45583</v>
      </c>
      <c r="F248" s="6" t="n">
        <v>114.12</v>
      </c>
      <c r="G248" s="7" t="n">
        <f aca="false">DATE(YEAR(_xlfn.MINIFS($E$5:$E$281,$B$5:$B$281,B248)),MONTH(_xlfn.MINIFS($E$5:$E$281,$B$5:$B$281,B248)),1)</f>
        <v>45505</v>
      </c>
      <c r="H248" s="4" t="n">
        <f aca="false">(YEAR(E248)-YEAR(G248))*12+(MONTH(E248)-MONTH(G248))</f>
        <v>2</v>
      </c>
    </row>
    <row r="249" customFormat="false" ht="15" hidden="false" customHeight="false" outlineLevel="0" collapsed="false">
      <c r="A249" s="4" t="n">
        <v>5192</v>
      </c>
      <c r="B249" s="4" t="s">
        <v>57</v>
      </c>
      <c r="C249" s="4" t="s">
        <v>58</v>
      </c>
      <c r="D249" s="4" t="s">
        <v>21</v>
      </c>
      <c r="E249" s="5" t="n">
        <v>45585</v>
      </c>
      <c r="F249" s="6" t="n">
        <v>205.08</v>
      </c>
      <c r="G249" s="7" t="n">
        <f aca="false">DATE(YEAR(_xlfn.MINIFS($E$5:$E$281,$B$5:$B$281,B249)),MONTH(_xlfn.MINIFS($E$5:$E$281,$B$5:$B$281,B249)),1)</f>
        <v>45352</v>
      </c>
      <c r="H249" s="4" t="n">
        <f aca="false">(YEAR(E249)-YEAR(G249))*12+(MONTH(E249)-MONTH(G249))</f>
        <v>7</v>
      </c>
    </row>
    <row r="250" customFormat="false" ht="15" hidden="false" customHeight="false" outlineLevel="0" collapsed="false">
      <c r="A250" s="4" t="n">
        <v>5263</v>
      </c>
      <c r="B250" s="4" t="s">
        <v>47</v>
      </c>
      <c r="C250" s="4" t="s">
        <v>48</v>
      </c>
      <c r="D250" s="4" t="s">
        <v>15</v>
      </c>
      <c r="E250" s="5" t="n">
        <v>45587</v>
      </c>
      <c r="F250" s="6" t="n">
        <v>104.39</v>
      </c>
      <c r="G250" s="7" t="n">
        <f aca="false">DATE(YEAR(_xlfn.MINIFS($E$5:$E$281,$B$5:$B$281,B250)),MONTH(_xlfn.MINIFS($E$5:$E$281,$B$5:$B$281,B250)),1)</f>
        <v>45323</v>
      </c>
      <c r="H250" s="4" t="n">
        <f aca="false">(YEAR(E250)-YEAR(G250))*12+(MONTH(E250)-MONTH(G250))</f>
        <v>8</v>
      </c>
    </row>
    <row r="251" customFormat="false" ht="15" hidden="false" customHeight="false" outlineLevel="0" collapsed="false">
      <c r="A251" s="4" t="n">
        <v>5082</v>
      </c>
      <c r="B251" s="4" t="s">
        <v>139</v>
      </c>
      <c r="C251" s="4" t="s">
        <v>140</v>
      </c>
      <c r="D251" s="4" t="s">
        <v>18</v>
      </c>
      <c r="E251" s="5" t="n">
        <v>45590</v>
      </c>
      <c r="F251" s="6" t="n">
        <v>91.54</v>
      </c>
      <c r="G251" s="7" t="n">
        <f aca="false">DATE(YEAR(_xlfn.MINIFS($E$5:$E$281,$B$5:$B$281,B251)),MONTH(_xlfn.MINIFS($E$5:$E$281,$B$5:$B$281,B251)),1)</f>
        <v>45505</v>
      </c>
      <c r="H251" s="4" t="n">
        <f aca="false">(YEAR(E251)-YEAR(G251))*12+(MONTH(E251)-MONTH(G251))</f>
        <v>2</v>
      </c>
    </row>
    <row r="252" customFormat="false" ht="15" hidden="false" customHeight="false" outlineLevel="0" collapsed="false">
      <c r="A252" s="4" t="n">
        <v>5205</v>
      </c>
      <c r="B252" s="4" t="s">
        <v>93</v>
      </c>
      <c r="C252" s="4" t="s">
        <v>94</v>
      </c>
      <c r="D252" s="4" t="s">
        <v>24</v>
      </c>
      <c r="E252" s="5" t="n">
        <v>45592</v>
      </c>
      <c r="F252" s="6" t="n">
        <v>170.28</v>
      </c>
      <c r="G252" s="7" t="n">
        <f aca="false">DATE(YEAR(_xlfn.MINIFS($E$5:$E$281,$B$5:$B$281,B252)),MONTH(_xlfn.MINIFS($E$5:$E$281,$B$5:$B$281,B252)),1)</f>
        <v>45413</v>
      </c>
      <c r="H252" s="4" t="n">
        <f aca="false">(YEAR(E252)-YEAR(G252))*12+(MONTH(E252)-MONTH(G252))</f>
        <v>5</v>
      </c>
    </row>
    <row r="253" customFormat="false" ht="15" hidden="false" customHeight="false" outlineLevel="0" collapsed="false">
      <c r="A253" s="4" t="n">
        <v>5272</v>
      </c>
      <c r="B253" s="4" t="s">
        <v>115</v>
      </c>
      <c r="C253" s="4" t="s">
        <v>116</v>
      </c>
      <c r="D253" s="4" t="s">
        <v>18</v>
      </c>
      <c r="E253" s="5" t="n">
        <v>45593</v>
      </c>
      <c r="F253" s="6" t="n">
        <v>20.44</v>
      </c>
      <c r="G253" s="7" t="n">
        <f aca="false">DATE(YEAR(_xlfn.MINIFS($E$5:$E$281,$B$5:$B$281,B253)),MONTH(_xlfn.MINIFS($E$5:$E$281,$B$5:$B$281,B253)),1)</f>
        <v>45444</v>
      </c>
      <c r="H253" s="4" t="n">
        <f aca="false">(YEAR(E253)-YEAR(G253))*12+(MONTH(E253)-MONTH(G253))</f>
        <v>4</v>
      </c>
    </row>
    <row r="254" customFormat="false" ht="15" hidden="false" customHeight="false" outlineLevel="0" collapsed="false">
      <c r="A254" s="4" t="n">
        <v>5273</v>
      </c>
      <c r="B254" s="4" t="s">
        <v>115</v>
      </c>
      <c r="C254" s="4" t="s">
        <v>116</v>
      </c>
      <c r="D254" s="4" t="s">
        <v>18</v>
      </c>
      <c r="E254" s="5" t="n">
        <v>45596</v>
      </c>
      <c r="F254" s="6" t="n">
        <v>163.55</v>
      </c>
      <c r="G254" s="7" t="n">
        <f aca="false">DATE(YEAR(_xlfn.MINIFS($E$5:$E$281,$B$5:$B$281,B254)),MONTH(_xlfn.MINIFS($E$5:$E$281,$B$5:$B$281,B254)),1)</f>
        <v>45444</v>
      </c>
      <c r="H254" s="4" t="n">
        <f aca="false">(YEAR(E254)-YEAR(G254))*12+(MONTH(E254)-MONTH(G254))</f>
        <v>4</v>
      </c>
    </row>
    <row r="255" customFormat="false" ht="15" hidden="false" customHeight="false" outlineLevel="0" collapsed="false">
      <c r="A255" s="4" t="n">
        <v>5214</v>
      </c>
      <c r="B255" s="4" t="s">
        <v>111</v>
      </c>
      <c r="C255" s="4" t="s">
        <v>112</v>
      </c>
      <c r="D255" s="4" t="s">
        <v>21</v>
      </c>
      <c r="E255" s="5" t="n">
        <v>45598</v>
      </c>
      <c r="F255" s="6" t="n">
        <v>23.33</v>
      </c>
      <c r="G255" s="7" t="n">
        <f aca="false">DATE(YEAR(_xlfn.MINIFS($E$5:$E$281,$B$5:$B$281,B255)),MONTH(_xlfn.MINIFS($E$5:$E$281,$B$5:$B$281,B255)),1)</f>
        <v>45444</v>
      </c>
      <c r="H255" s="4" t="n">
        <f aca="false">(YEAR(E255)-YEAR(G255))*12+(MONTH(E255)-MONTH(G255))</f>
        <v>5</v>
      </c>
    </row>
    <row r="256" customFormat="false" ht="15" hidden="false" customHeight="false" outlineLevel="0" collapsed="false">
      <c r="A256" s="4" t="n">
        <v>5206</v>
      </c>
      <c r="B256" s="4" t="s">
        <v>93</v>
      </c>
      <c r="C256" s="4" t="s">
        <v>94</v>
      </c>
      <c r="D256" s="4" t="s">
        <v>24</v>
      </c>
      <c r="E256" s="5" t="n">
        <v>45600</v>
      </c>
      <c r="F256" s="6" t="n">
        <v>94.92</v>
      </c>
      <c r="G256" s="7" t="n">
        <f aca="false">DATE(YEAR(_xlfn.MINIFS($E$5:$E$281,$B$5:$B$281,B256)),MONTH(_xlfn.MINIFS($E$5:$E$281,$B$5:$B$281,B256)),1)</f>
        <v>45413</v>
      </c>
      <c r="H256" s="4" t="n">
        <f aca="false">(YEAR(E256)-YEAR(G256))*12+(MONTH(E256)-MONTH(G256))</f>
        <v>6</v>
      </c>
    </row>
    <row r="257" customFormat="false" ht="15" hidden="false" customHeight="false" outlineLevel="0" collapsed="false">
      <c r="A257" s="4" t="n">
        <v>5114</v>
      </c>
      <c r="B257" s="4" t="s">
        <v>145</v>
      </c>
      <c r="C257" s="4" t="s">
        <v>146</v>
      </c>
      <c r="D257" s="4" t="s">
        <v>24</v>
      </c>
      <c r="E257" s="5" t="n">
        <v>45601</v>
      </c>
      <c r="F257" s="6" t="n">
        <v>143.43</v>
      </c>
      <c r="G257" s="7" t="n">
        <f aca="false">DATE(YEAR(_xlfn.MINIFS($E$5:$E$281,$B$5:$B$281,B257)),MONTH(_xlfn.MINIFS($E$5:$E$281,$B$5:$B$281,B257)),1)</f>
        <v>45505</v>
      </c>
      <c r="H257" s="4" t="n">
        <f aca="false">(YEAR(E257)-YEAR(G257))*12+(MONTH(E257)-MONTH(G257))</f>
        <v>3</v>
      </c>
    </row>
    <row r="258" customFormat="false" ht="15" hidden="false" customHeight="false" outlineLevel="0" collapsed="false">
      <c r="A258" s="4" t="n">
        <v>5274</v>
      </c>
      <c r="B258" s="4" t="s">
        <v>115</v>
      </c>
      <c r="C258" s="4" t="s">
        <v>116</v>
      </c>
      <c r="D258" s="4" t="s">
        <v>18</v>
      </c>
      <c r="E258" s="5" t="n">
        <v>45603</v>
      </c>
      <c r="F258" s="6" t="n">
        <v>95.27</v>
      </c>
      <c r="G258" s="7" t="n">
        <f aca="false">DATE(YEAR(_xlfn.MINIFS($E$5:$E$281,$B$5:$B$281,B258)),MONTH(_xlfn.MINIFS($E$5:$E$281,$B$5:$B$281,B258)),1)</f>
        <v>45444</v>
      </c>
      <c r="H258" s="4" t="n">
        <f aca="false">(YEAR(E258)-YEAR(G258))*12+(MONTH(E258)-MONTH(G258))</f>
        <v>5</v>
      </c>
    </row>
    <row r="259" customFormat="false" ht="15" hidden="false" customHeight="false" outlineLevel="0" collapsed="false">
      <c r="A259" s="4" t="n">
        <v>5264</v>
      </c>
      <c r="B259" s="4" t="s">
        <v>47</v>
      </c>
      <c r="C259" s="4" t="s">
        <v>48</v>
      </c>
      <c r="D259" s="4" t="s">
        <v>15</v>
      </c>
      <c r="E259" s="5" t="n">
        <v>45605</v>
      </c>
      <c r="F259" s="6" t="n">
        <v>75.6</v>
      </c>
      <c r="G259" s="7" t="n">
        <f aca="false">DATE(YEAR(_xlfn.MINIFS($E$5:$E$281,$B$5:$B$281,B259)),MONTH(_xlfn.MINIFS($E$5:$E$281,$B$5:$B$281,B259)),1)</f>
        <v>45323</v>
      </c>
      <c r="H259" s="4" t="n">
        <f aca="false">(YEAR(E259)-YEAR(G259))*12+(MONTH(E259)-MONTH(G259))</f>
        <v>9</v>
      </c>
    </row>
    <row r="260" customFormat="false" ht="15" hidden="false" customHeight="false" outlineLevel="0" collapsed="false">
      <c r="A260" s="4" t="n">
        <v>5193</v>
      </c>
      <c r="B260" s="4" t="s">
        <v>57</v>
      </c>
      <c r="C260" s="4" t="s">
        <v>58</v>
      </c>
      <c r="D260" s="4" t="s">
        <v>21</v>
      </c>
      <c r="E260" s="5" t="n">
        <v>45608</v>
      </c>
      <c r="F260" s="6" t="n">
        <v>73.08</v>
      </c>
      <c r="G260" s="7" t="n">
        <f aca="false">DATE(YEAR(_xlfn.MINIFS($E$5:$E$281,$B$5:$B$281,B260)),MONTH(_xlfn.MINIFS($E$5:$E$281,$B$5:$B$281,B260)),1)</f>
        <v>45352</v>
      </c>
      <c r="H260" s="4" t="n">
        <f aca="false">(YEAR(E260)-YEAR(G260))*12+(MONTH(E260)-MONTH(G260))</f>
        <v>8</v>
      </c>
    </row>
    <row r="261" customFormat="false" ht="15" hidden="false" customHeight="false" outlineLevel="0" collapsed="false">
      <c r="A261" s="4" t="n">
        <v>5099</v>
      </c>
      <c r="B261" s="4" t="s">
        <v>63</v>
      </c>
      <c r="C261" s="4" t="s">
        <v>64</v>
      </c>
      <c r="D261" s="4" t="s">
        <v>18</v>
      </c>
      <c r="E261" s="5" t="n">
        <v>45609</v>
      </c>
      <c r="F261" s="6" t="n">
        <v>99.85</v>
      </c>
      <c r="G261" s="7" t="n">
        <f aca="false">DATE(YEAR(_xlfn.MINIFS($E$5:$E$281,$B$5:$B$281,B261)),MONTH(_xlfn.MINIFS($E$5:$E$281,$B$5:$B$281,B261)),1)</f>
        <v>45352</v>
      </c>
      <c r="H261" s="4" t="n">
        <f aca="false">(YEAR(E261)-YEAR(G261))*12+(MONTH(E261)-MONTH(G261))</f>
        <v>8</v>
      </c>
    </row>
    <row r="262" customFormat="false" ht="15" hidden="false" customHeight="false" outlineLevel="0" collapsed="false">
      <c r="A262" s="4" t="n">
        <v>5207</v>
      </c>
      <c r="B262" s="4" t="s">
        <v>93</v>
      </c>
      <c r="C262" s="4" t="s">
        <v>94</v>
      </c>
      <c r="D262" s="4" t="s">
        <v>24</v>
      </c>
      <c r="E262" s="5" t="n">
        <v>45611</v>
      </c>
      <c r="F262" s="6" t="n">
        <v>127.76</v>
      </c>
      <c r="G262" s="7" t="n">
        <f aca="false">DATE(YEAR(_xlfn.MINIFS($E$5:$E$281,$B$5:$B$281,B262)),MONTH(_xlfn.MINIFS($E$5:$E$281,$B$5:$B$281,B262)),1)</f>
        <v>45413</v>
      </c>
      <c r="H262" s="4" t="n">
        <f aca="false">(YEAR(E262)-YEAR(G262))*12+(MONTH(E262)-MONTH(G262))</f>
        <v>6</v>
      </c>
    </row>
    <row r="263" customFormat="false" ht="15" hidden="false" customHeight="false" outlineLevel="0" collapsed="false">
      <c r="A263" s="4" t="n">
        <v>5115</v>
      </c>
      <c r="B263" s="4" t="s">
        <v>145</v>
      </c>
      <c r="C263" s="4" t="s">
        <v>146</v>
      </c>
      <c r="D263" s="4" t="s">
        <v>24</v>
      </c>
      <c r="E263" s="5" t="n">
        <v>45613</v>
      </c>
      <c r="F263" s="6" t="n">
        <v>145.44</v>
      </c>
      <c r="G263" s="7" t="n">
        <f aca="false">DATE(YEAR(_xlfn.MINIFS($E$5:$E$281,$B$5:$B$281,B263)),MONTH(_xlfn.MINIFS($E$5:$E$281,$B$5:$B$281,B263)),1)</f>
        <v>45505</v>
      </c>
      <c r="H263" s="4" t="n">
        <f aca="false">(YEAR(E263)-YEAR(G263))*12+(MONTH(E263)-MONTH(G263))</f>
        <v>3</v>
      </c>
    </row>
    <row r="264" customFormat="false" ht="15" hidden="false" customHeight="false" outlineLevel="0" collapsed="false">
      <c r="A264" s="4" t="n">
        <v>5183</v>
      </c>
      <c r="B264" s="4" t="s">
        <v>137</v>
      </c>
      <c r="C264" s="4" t="s">
        <v>138</v>
      </c>
      <c r="D264" s="4" t="s">
        <v>21</v>
      </c>
      <c r="E264" s="5" t="n">
        <v>45617</v>
      </c>
      <c r="F264" s="6" t="n">
        <v>124.47</v>
      </c>
      <c r="G264" s="7" t="n">
        <f aca="false">DATE(YEAR(_xlfn.MINIFS($E$5:$E$281,$B$5:$B$281,B264)),MONTH(_xlfn.MINIFS($E$5:$E$281,$B$5:$B$281,B264)),1)</f>
        <v>45505</v>
      </c>
      <c r="H264" s="4" t="n">
        <f aca="false">(YEAR(E264)-YEAR(G264))*12+(MONTH(E264)-MONTH(G264))</f>
        <v>3</v>
      </c>
    </row>
    <row r="265" customFormat="false" ht="15" hidden="false" customHeight="false" outlineLevel="0" collapsed="false">
      <c r="A265" s="4" t="n">
        <v>5121</v>
      </c>
      <c r="B265" s="4" t="s">
        <v>129</v>
      </c>
      <c r="C265" s="4" t="s">
        <v>130</v>
      </c>
      <c r="D265" s="4" t="s">
        <v>15</v>
      </c>
      <c r="E265" s="5" t="n">
        <v>45617</v>
      </c>
      <c r="F265" s="6" t="n">
        <v>78.02</v>
      </c>
      <c r="G265" s="7" t="n">
        <f aca="false">DATE(YEAR(_xlfn.MINIFS($E$5:$E$281,$B$5:$B$281,B265)),MONTH(_xlfn.MINIFS($E$5:$E$281,$B$5:$B$281,B265)),1)</f>
        <v>45474</v>
      </c>
      <c r="H265" s="4" t="n">
        <f aca="false">(YEAR(E265)-YEAR(G265))*12+(MONTH(E265)-MONTH(G265))</f>
        <v>4</v>
      </c>
    </row>
    <row r="266" customFormat="false" ht="15" hidden="false" customHeight="false" outlineLevel="0" collapsed="false">
      <c r="A266" s="4" t="n">
        <v>5042</v>
      </c>
      <c r="B266" s="4" t="s">
        <v>97</v>
      </c>
      <c r="C266" s="4" t="s">
        <v>98</v>
      </c>
      <c r="D266" s="4" t="s">
        <v>15</v>
      </c>
      <c r="E266" s="5" t="n">
        <v>45618</v>
      </c>
      <c r="F266" s="6" t="n">
        <v>198.02</v>
      </c>
      <c r="G266" s="7" t="n">
        <f aca="false">DATE(YEAR(_xlfn.MINIFS($E$5:$E$281,$B$5:$B$281,B266)),MONTH(_xlfn.MINIFS($E$5:$E$281,$B$5:$B$281,B266)),1)</f>
        <v>45444</v>
      </c>
      <c r="H266" s="4" t="n">
        <f aca="false">(YEAR(E266)-YEAR(G266))*12+(MONTH(E266)-MONTH(G266))</f>
        <v>5</v>
      </c>
    </row>
    <row r="267" customFormat="false" ht="15" hidden="false" customHeight="false" outlineLevel="0" collapsed="false">
      <c r="A267" s="4" t="n">
        <v>5073</v>
      </c>
      <c r="B267" s="4" t="s">
        <v>119</v>
      </c>
      <c r="C267" s="4" t="s">
        <v>120</v>
      </c>
      <c r="D267" s="4" t="s">
        <v>15</v>
      </c>
      <c r="E267" s="5" t="n">
        <v>45620</v>
      </c>
      <c r="F267" s="6" t="n">
        <v>43.84</v>
      </c>
      <c r="G267" s="7" t="n">
        <f aca="false">DATE(YEAR(_xlfn.MINIFS($E$5:$E$281,$B$5:$B$281,B267)),MONTH(_xlfn.MINIFS($E$5:$E$281,$B$5:$B$281,B267)),1)</f>
        <v>45444</v>
      </c>
      <c r="H267" s="4" t="n">
        <f aca="false">(YEAR(E267)-YEAR(G267))*12+(MONTH(E267)-MONTH(G267))</f>
        <v>5</v>
      </c>
    </row>
    <row r="268" customFormat="false" ht="15" hidden="false" customHeight="false" outlineLevel="0" collapsed="false">
      <c r="A268" s="4" t="n">
        <v>5098</v>
      </c>
      <c r="B268" s="4" t="s">
        <v>63</v>
      </c>
      <c r="C268" s="4" t="s">
        <v>64</v>
      </c>
      <c r="D268" s="4" t="s">
        <v>18</v>
      </c>
      <c r="E268" s="5" t="n">
        <v>45620</v>
      </c>
      <c r="F268" s="6" t="n">
        <v>193.48</v>
      </c>
      <c r="G268" s="7" t="n">
        <f aca="false">DATE(YEAR(_xlfn.MINIFS($E$5:$E$281,$B$5:$B$281,B268)),MONTH(_xlfn.MINIFS($E$5:$E$281,$B$5:$B$281,B268)),1)</f>
        <v>45352</v>
      </c>
      <c r="H268" s="4" t="n">
        <f aca="false">(YEAR(E268)-YEAR(G268))*12+(MONTH(E268)-MONTH(G268))</f>
        <v>8</v>
      </c>
    </row>
    <row r="269" customFormat="false" ht="15" hidden="false" customHeight="false" outlineLevel="0" collapsed="false">
      <c r="A269" s="4" t="n">
        <v>5043</v>
      </c>
      <c r="B269" s="4" t="s">
        <v>97</v>
      </c>
      <c r="C269" s="4" t="s">
        <v>98</v>
      </c>
      <c r="D269" s="4" t="s">
        <v>15</v>
      </c>
      <c r="E269" s="5" t="n">
        <v>45622</v>
      </c>
      <c r="F269" s="6" t="n">
        <v>195.21</v>
      </c>
      <c r="G269" s="7" t="n">
        <f aca="false">DATE(YEAR(_xlfn.MINIFS($E$5:$E$281,$B$5:$B$281,B269)),MONTH(_xlfn.MINIFS($E$5:$E$281,$B$5:$B$281,B269)),1)</f>
        <v>45444</v>
      </c>
      <c r="H269" s="4" t="n">
        <f aca="false">(YEAR(E269)-YEAR(G269))*12+(MONTH(E269)-MONTH(G269))</f>
        <v>5</v>
      </c>
    </row>
    <row r="270" customFormat="false" ht="15" hidden="false" customHeight="false" outlineLevel="0" collapsed="false">
      <c r="A270" s="4" t="n">
        <v>5194</v>
      </c>
      <c r="B270" s="4" t="s">
        <v>57</v>
      </c>
      <c r="C270" s="4" t="s">
        <v>58</v>
      </c>
      <c r="D270" s="4" t="s">
        <v>21</v>
      </c>
      <c r="E270" s="5" t="n">
        <v>45630</v>
      </c>
      <c r="F270" s="6" t="n">
        <v>93.67</v>
      </c>
      <c r="G270" s="7" t="n">
        <f aca="false">DATE(YEAR(_xlfn.MINIFS($E$5:$E$281,$B$5:$B$281,B270)),MONTH(_xlfn.MINIFS($E$5:$E$281,$B$5:$B$281,B270)),1)</f>
        <v>45352</v>
      </c>
      <c r="H270" s="4" t="n">
        <f aca="false">(YEAR(E270)-YEAR(G270))*12+(MONTH(E270)-MONTH(G270))</f>
        <v>9</v>
      </c>
    </row>
    <row r="271" customFormat="false" ht="15" hidden="false" customHeight="false" outlineLevel="0" collapsed="false">
      <c r="A271" s="4" t="n">
        <v>5275</v>
      </c>
      <c r="B271" s="4" t="s">
        <v>115</v>
      </c>
      <c r="C271" s="4" t="s">
        <v>116</v>
      </c>
      <c r="D271" s="4" t="s">
        <v>18</v>
      </c>
      <c r="E271" s="5" t="n">
        <v>45632</v>
      </c>
      <c r="F271" s="6" t="n">
        <v>44.64</v>
      </c>
      <c r="G271" s="7" t="n">
        <f aca="false">DATE(YEAR(_xlfn.MINIFS($E$5:$E$281,$B$5:$B$281,B271)),MONTH(_xlfn.MINIFS($E$5:$E$281,$B$5:$B$281,B271)),1)</f>
        <v>45444</v>
      </c>
      <c r="H271" s="4" t="n">
        <f aca="false">(YEAR(E271)-YEAR(G271))*12+(MONTH(E271)-MONTH(G271))</f>
        <v>6</v>
      </c>
    </row>
    <row r="272" customFormat="false" ht="15" hidden="false" customHeight="false" outlineLevel="0" collapsed="false">
      <c r="A272" s="4" t="n">
        <v>5215</v>
      </c>
      <c r="B272" s="4" t="s">
        <v>111</v>
      </c>
      <c r="C272" s="4" t="s">
        <v>112</v>
      </c>
      <c r="D272" s="4" t="s">
        <v>21</v>
      </c>
      <c r="E272" s="5" t="n">
        <v>45637</v>
      </c>
      <c r="F272" s="6" t="n">
        <v>174.42</v>
      </c>
      <c r="G272" s="7" t="n">
        <f aca="false">DATE(YEAR(_xlfn.MINIFS($E$5:$E$281,$B$5:$B$281,B272)),MONTH(_xlfn.MINIFS($E$5:$E$281,$B$5:$B$281,B272)),1)</f>
        <v>45444</v>
      </c>
      <c r="H272" s="4" t="n">
        <f aca="false">(YEAR(E272)-YEAR(G272))*12+(MONTH(E272)-MONTH(G272))</f>
        <v>6</v>
      </c>
    </row>
    <row r="273" customFormat="false" ht="15" hidden="false" customHeight="false" outlineLevel="0" collapsed="false">
      <c r="A273" s="4" t="n">
        <v>5100</v>
      </c>
      <c r="B273" s="4" t="s">
        <v>63</v>
      </c>
      <c r="C273" s="4" t="s">
        <v>64</v>
      </c>
      <c r="D273" s="4" t="s">
        <v>18</v>
      </c>
      <c r="E273" s="5" t="n">
        <v>45637</v>
      </c>
      <c r="F273" s="6" t="n">
        <v>169.18</v>
      </c>
      <c r="G273" s="7" t="n">
        <f aca="false">DATE(YEAR(_xlfn.MINIFS($E$5:$E$281,$B$5:$B$281,B273)),MONTH(_xlfn.MINIFS($E$5:$E$281,$B$5:$B$281,B273)),1)</f>
        <v>45352</v>
      </c>
      <c r="H273" s="4" t="n">
        <f aca="false">(YEAR(E273)-YEAR(G273))*12+(MONTH(E273)-MONTH(G273))</f>
        <v>9</v>
      </c>
    </row>
    <row r="274" customFormat="false" ht="15" hidden="false" customHeight="false" outlineLevel="0" collapsed="false">
      <c r="A274" s="4" t="n">
        <v>5208</v>
      </c>
      <c r="B274" s="4" t="s">
        <v>93</v>
      </c>
      <c r="C274" s="4" t="s">
        <v>94</v>
      </c>
      <c r="D274" s="4" t="s">
        <v>24</v>
      </c>
      <c r="E274" s="5" t="n">
        <v>45640</v>
      </c>
      <c r="F274" s="6" t="n">
        <v>78.18</v>
      </c>
      <c r="G274" s="7" t="n">
        <f aca="false">DATE(YEAR(_xlfn.MINIFS($E$5:$E$281,$B$5:$B$281,B274)),MONTH(_xlfn.MINIFS($E$5:$E$281,$B$5:$B$281,B274)),1)</f>
        <v>45413</v>
      </c>
      <c r="H274" s="4" t="n">
        <f aca="false">(YEAR(E274)-YEAR(G274))*12+(MONTH(E274)-MONTH(G274))</f>
        <v>7</v>
      </c>
    </row>
    <row r="275" customFormat="false" ht="15" hidden="false" customHeight="false" outlineLevel="0" collapsed="false">
      <c r="A275" s="4" t="n">
        <v>5044</v>
      </c>
      <c r="B275" s="4" t="s">
        <v>97</v>
      </c>
      <c r="C275" s="4" t="s">
        <v>98</v>
      </c>
      <c r="D275" s="4" t="s">
        <v>15</v>
      </c>
      <c r="E275" s="5" t="n">
        <v>45642</v>
      </c>
      <c r="F275" s="6" t="n">
        <v>45.64</v>
      </c>
      <c r="G275" s="7" t="n">
        <f aca="false">DATE(YEAR(_xlfn.MINIFS($E$5:$E$281,$B$5:$B$281,B275)),MONTH(_xlfn.MINIFS($E$5:$E$281,$B$5:$B$281,B275)),1)</f>
        <v>45444</v>
      </c>
      <c r="H275" s="4" t="n">
        <f aca="false">(YEAR(E275)-YEAR(G275))*12+(MONTH(E275)-MONTH(G275))</f>
        <v>6</v>
      </c>
    </row>
    <row r="276" customFormat="false" ht="15" hidden="false" customHeight="false" outlineLevel="0" collapsed="false">
      <c r="A276" s="4" t="n">
        <v>5216</v>
      </c>
      <c r="B276" s="4" t="s">
        <v>111</v>
      </c>
      <c r="C276" s="4" t="s">
        <v>112</v>
      </c>
      <c r="D276" s="4" t="s">
        <v>21</v>
      </c>
      <c r="E276" s="5" t="n">
        <v>45643</v>
      </c>
      <c r="F276" s="6" t="n">
        <v>31.39</v>
      </c>
      <c r="G276" s="7" t="n">
        <f aca="false">DATE(YEAR(_xlfn.MINIFS($E$5:$E$281,$B$5:$B$281,B276)),MONTH(_xlfn.MINIFS($E$5:$E$281,$B$5:$B$281,B276)),1)</f>
        <v>45444</v>
      </c>
      <c r="H276" s="4" t="n">
        <f aca="false">(YEAR(E276)-YEAR(G276))*12+(MONTH(E276)-MONTH(G276))</f>
        <v>6</v>
      </c>
    </row>
    <row r="277" customFormat="false" ht="15" hidden="false" customHeight="false" outlineLevel="0" collapsed="false">
      <c r="A277" s="4" t="n">
        <v>5122</v>
      </c>
      <c r="B277" s="4" t="s">
        <v>129</v>
      </c>
      <c r="C277" s="4" t="s">
        <v>130</v>
      </c>
      <c r="D277" s="4" t="s">
        <v>15</v>
      </c>
      <c r="E277" s="5" t="n">
        <v>45648</v>
      </c>
      <c r="F277" s="6" t="n">
        <v>147.67</v>
      </c>
      <c r="G277" s="7" t="n">
        <f aca="false">DATE(YEAR(_xlfn.MINIFS($E$5:$E$281,$B$5:$B$281,B277)),MONTH(_xlfn.MINIFS($E$5:$E$281,$B$5:$B$281,B277)),1)</f>
        <v>45474</v>
      </c>
      <c r="H277" s="4" t="n">
        <f aca="false">(YEAR(E277)-YEAR(G277))*12+(MONTH(E277)-MONTH(G277))</f>
        <v>5</v>
      </c>
    </row>
    <row r="278" customFormat="false" ht="15" hidden="false" customHeight="false" outlineLevel="0" collapsed="false">
      <c r="A278" s="4" t="n">
        <v>5195</v>
      </c>
      <c r="B278" s="4" t="s">
        <v>57</v>
      </c>
      <c r="C278" s="4" t="s">
        <v>58</v>
      </c>
      <c r="D278" s="4" t="s">
        <v>21</v>
      </c>
      <c r="E278" s="5" t="n">
        <v>45651</v>
      </c>
      <c r="F278" s="6" t="n">
        <v>179.99</v>
      </c>
      <c r="G278" s="7" t="n">
        <f aca="false">DATE(YEAR(_xlfn.MINIFS($E$5:$E$281,$B$5:$B$281,B278)),MONTH(_xlfn.MINIFS($E$5:$E$281,$B$5:$B$281,B278)),1)</f>
        <v>45352</v>
      </c>
      <c r="H278" s="4" t="n">
        <f aca="false">(YEAR(E278)-YEAR(G278))*12+(MONTH(E278)-MONTH(G278))</f>
        <v>9</v>
      </c>
    </row>
    <row r="279" customFormat="false" ht="15" hidden="false" customHeight="false" outlineLevel="0" collapsed="false">
      <c r="A279" s="4" t="n">
        <v>5217</v>
      </c>
      <c r="B279" s="4" t="s">
        <v>111</v>
      </c>
      <c r="C279" s="4" t="s">
        <v>112</v>
      </c>
      <c r="D279" s="4" t="s">
        <v>21</v>
      </c>
      <c r="E279" s="5" t="n">
        <v>45651</v>
      </c>
      <c r="F279" s="6" t="n">
        <v>118.3</v>
      </c>
      <c r="G279" s="7" t="n">
        <f aca="false">DATE(YEAR(_xlfn.MINIFS($E$5:$E$281,$B$5:$B$281,B279)),MONTH(_xlfn.MINIFS($E$5:$E$281,$B$5:$B$281,B279)),1)</f>
        <v>45444</v>
      </c>
      <c r="H279" s="4" t="n">
        <f aca="false">(YEAR(E279)-YEAR(G279))*12+(MONTH(E279)-MONTH(G279))</f>
        <v>6</v>
      </c>
    </row>
    <row r="280" customFormat="false" ht="15" hidden="false" customHeight="false" outlineLevel="0" collapsed="false">
      <c r="A280" s="4" t="n">
        <v>5074</v>
      </c>
      <c r="B280" s="4" t="s">
        <v>119</v>
      </c>
      <c r="C280" s="4" t="s">
        <v>120</v>
      </c>
      <c r="D280" s="4" t="s">
        <v>15</v>
      </c>
      <c r="E280" s="5" t="n">
        <v>45653</v>
      </c>
      <c r="F280" s="6" t="n">
        <v>82.92</v>
      </c>
      <c r="G280" s="7" t="n">
        <f aca="false">DATE(YEAR(_xlfn.MINIFS($E$5:$E$281,$B$5:$B$281,B280)),MONTH(_xlfn.MINIFS($E$5:$E$281,$B$5:$B$281,B280)),1)</f>
        <v>45444</v>
      </c>
      <c r="H280" s="4" t="n">
        <f aca="false">(YEAR(E280)-YEAR(G280))*12+(MONTH(E280)-MONTH(G280))</f>
        <v>6</v>
      </c>
    </row>
    <row r="281" customFormat="false" ht="15" hidden="false" customHeight="false" outlineLevel="0" collapsed="false">
      <c r="A281" s="4" t="n">
        <v>5196</v>
      </c>
      <c r="B281" s="4" t="s">
        <v>57</v>
      </c>
      <c r="C281" s="4" t="s">
        <v>58</v>
      </c>
      <c r="D281" s="4" t="s">
        <v>21</v>
      </c>
      <c r="E281" s="5" t="n">
        <v>45657</v>
      </c>
      <c r="F281" s="6" t="n">
        <v>179.97</v>
      </c>
      <c r="G281" s="7" t="n">
        <f aca="false">DATE(YEAR(_xlfn.MINIFS($E$5:$E$281,$B$5:$B$281,B281)),MONTH(_xlfn.MINIFS($E$5:$E$281,$B$5:$B$281,B281)),1)</f>
        <v>45352</v>
      </c>
      <c r="H281" s="4" t="n">
        <f aca="false">(YEAR(E281)-YEAR(G281))*12+(MONTH(E281)-MONTH(G281))</f>
        <v>9</v>
      </c>
    </row>
  </sheetData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32"/>
    <col collapsed="false" customWidth="true" hidden="false" outlineLevel="0" max="6" min="6" style="0" width="16"/>
    <col collapsed="false" customWidth="true" hidden="false" outlineLevel="0" max="12" min="7" style="0" width="32"/>
  </cols>
  <sheetData>
    <row r="1" customFormat="false" ht="19.7" hidden="false" customHeight="false" outlineLevel="0" collapsed="false">
      <c r="A1" s="1" t="s">
        <v>155</v>
      </c>
    </row>
    <row r="2" customFormat="false" ht="15" hidden="false" customHeight="false" outlineLevel="0" collapsed="false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8" t="s">
        <v>157</v>
      </c>
      <c r="C3" s="9" t="n">
        <f aca="false">DATE(2025,1,1)</f>
        <v>45658</v>
      </c>
    </row>
    <row r="5" customFormat="false" ht="15" hidden="false" customHeight="false" outlineLevel="0" collapsed="false">
      <c r="A5" s="3" t="s">
        <v>3</v>
      </c>
      <c r="B5" s="3" t="s">
        <v>4</v>
      </c>
      <c r="C5" s="3" t="s">
        <v>5</v>
      </c>
      <c r="D5" s="3" t="s">
        <v>8</v>
      </c>
      <c r="E5" s="3" t="s">
        <v>158</v>
      </c>
      <c r="F5" s="3" t="s">
        <v>159</v>
      </c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  <c r="L5" s="3" t="s">
        <v>165</v>
      </c>
    </row>
    <row r="6" customFormat="false" ht="15" hidden="false" customHeight="false" outlineLevel="0" collapsed="false">
      <c r="A6" s="4" t="s">
        <v>29</v>
      </c>
      <c r="B6" s="4" t="str">
        <f aca="false">IFERROR(INDEX('Transactions Data'!$C$5:$C$281,MATCH(A6,'Transactions Data'!$B$5:$B$281,0)),"")</f>
        <v>Aria Anderson</v>
      </c>
      <c r="C6" s="4" t="str">
        <f aca="false">IFERROR(INDEX('Transactions Data'!$D$5:$D$281,MATCH(A6,'Transactions Data'!$B$5:$B$281,0)),"")</f>
        <v>Australia</v>
      </c>
      <c r="D6" s="7" t="n">
        <f aca="false">DATE(YEAR(_xlfn.MINIFS('Transactions Data'!$E$5:$E$281,'Transactions Data'!$B$5:$B$281,A6)),MONTH(_xlfn.MINIFS('Transactions Data'!$E$5:$E$281,'Transactions Data'!$B$5:$B$281,A6)),1)</f>
        <v>45292</v>
      </c>
      <c r="E6" s="5" t="n">
        <f aca="false">_xlfn.MAXIFS('Transactions Data'!$E$5:$E$281,'Transactions Data'!$B$5:$B$281,A6)</f>
        <v>45441</v>
      </c>
      <c r="F6" s="4" t="n">
        <f aca="false">$C$3-E6</f>
        <v>217</v>
      </c>
      <c r="G6" s="4" t="n">
        <f aca="false">COUNTIFS('Transactions Data'!$B$5:$B$281,A6)</f>
        <v>9</v>
      </c>
      <c r="H6" s="6" t="n">
        <f aca="false">SUMIFS('Transactions Data'!$F$5:$F$281,'Transactions Data'!$B$5:$B$281,A6)</f>
        <v>873.37</v>
      </c>
      <c r="I6" s="4" t="n">
        <f aca="false">IF(F6&lt;=PERCENTILE($F$6:$F$75,0.2),5,IF(F6&lt;=PERCENTILE($F$6:$F$75,0.4),4,IF(F6&lt;=PERCENTILE($F$6:$F$75,0.6),3,IF(F6&lt;=PERCENTILE($F$6:$F$75,0.8),2,1))))</f>
        <v>2</v>
      </c>
      <c r="J6" s="4" t="n">
        <f aca="false">IF(G6&gt;=PERCENTILE($G$6:$G$75,0.8),5,IF(G6&gt;=PERCENTILE($G$6:$G$75,0.6),4,IF(G6&gt;=PERCENTILE($G$6:$G$75,0.4),3,IF(G6&gt;=PERCENTILE($G$6:$G$75,0.2),2,1))))</f>
        <v>5</v>
      </c>
      <c r="K6" s="4" t="n">
        <f aca="false">IF(H6&gt;=PERCENTILE($H$6:$H$75,0.8),5,IF(H6&gt;=PERCENTILE($H$6:$H$75,0.6),4,IF(H6&gt;=PERCENTILE($H$6:$H$75,0.4),3,IF(H6&gt;=PERCENTILE($H$6:$H$75,0.2),2,1))))</f>
        <v>4</v>
      </c>
      <c r="L6" s="10" t="str">
        <f aca="false">IF(AND(I6&gt;=4,J6&gt;=4),"Champions",IF(AND(I6&gt;=3,J6&gt;=4),"Loyal Customers",IF(AND(I6&gt;=4,J6&lt;=3),"Potential Loyalist",IF(AND(I6&lt;=2,J6&gt;=3),"At Risk",IF(AND(I6&lt;=2,J6&lt;=2),"Lost","Need Attention")))))</f>
        <v>At Risk</v>
      </c>
    </row>
    <row r="7" customFormat="false" ht="15" hidden="false" customHeight="false" outlineLevel="0" collapsed="false">
      <c r="A7" s="4" t="s">
        <v>31</v>
      </c>
      <c r="B7" s="4" t="str">
        <f aca="false">IFERROR(INDEX('Transactions Data'!$C$5:$C$281,MATCH(A7,'Transactions Data'!$B$5:$B$281,0)),"")</f>
        <v>Wyatt Taylor</v>
      </c>
      <c r="C7" s="4" t="str">
        <f aca="false">IFERROR(INDEX('Transactions Data'!$D$5:$D$281,MATCH(A7,'Transactions Data'!$B$5:$B$281,0)),"")</f>
        <v>Canada</v>
      </c>
      <c r="D7" s="7" t="n">
        <f aca="false">DATE(YEAR(_xlfn.MINIFS('Transactions Data'!$E$5:$E$281,'Transactions Data'!$B$5:$B$281,A7)),MONTH(_xlfn.MINIFS('Transactions Data'!$E$5:$E$281,'Transactions Data'!$B$5:$B$281,A7)),1)</f>
        <v>45292</v>
      </c>
      <c r="E7" s="5" t="n">
        <f aca="false">_xlfn.MAXIFS('Transactions Data'!$E$5:$E$281,'Transactions Data'!$B$5:$B$281,A7)</f>
        <v>45321</v>
      </c>
      <c r="F7" s="4" t="n">
        <f aca="false">$C$3-E7</f>
        <v>337</v>
      </c>
      <c r="G7" s="4" t="n">
        <f aca="false">COUNTIFS('Transactions Data'!$B$5:$B$281,A7)</f>
        <v>2</v>
      </c>
      <c r="H7" s="6" t="n">
        <f aca="false">SUMIFS('Transactions Data'!$F$5:$F$281,'Transactions Data'!$B$5:$B$281,A7)</f>
        <v>255.13</v>
      </c>
      <c r="I7" s="4" t="n">
        <f aca="false">IF(F7&lt;=PERCENTILE($F$6:$F$75,0.2),5,IF(F7&lt;=PERCENTILE($F$6:$F$75,0.4),4,IF(F7&lt;=PERCENTILE($F$6:$F$75,0.6),3,IF(F7&lt;=PERCENTILE($F$6:$F$75,0.8),2,1))))</f>
        <v>1</v>
      </c>
      <c r="J7" s="4" t="n">
        <f aca="false">IF(G7&gt;=PERCENTILE($G$6:$G$75,0.8),5,IF(G7&gt;=PERCENTILE($G$6:$G$75,0.6),4,IF(G7&gt;=PERCENTILE($G$6:$G$75,0.4),3,IF(G7&gt;=PERCENTILE($G$6:$G$75,0.2),2,1))))</f>
        <v>3</v>
      </c>
      <c r="K7" s="4" t="n">
        <f aca="false">IF(H7&gt;=PERCENTILE($H$6:$H$75,0.8),5,IF(H7&gt;=PERCENTILE($H$6:$H$75,0.6),4,IF(H7&gt;=PERCENTILE($H$6:$H$75,0.4),3,IF(H7&gt;=PERCENTILE($H$6:$H$75,0.2),2,1))))</f>
        <v>3</v>
      </c>
      <c r="L7" s="10" t="str">
        <f aca="false">IF(AND(I7&gt;=4,J7&gt;=4),"Champions",IF(AND(I7&gt;=3,J7&gt;=4),"Loyal Customers",IF(AND(I7&gt;=4,J7&lt;=3),"Potential Loyalist",IF(AND(I7&lt;=2,J7&gt;=3),"At Risk",IF(AND(I7&lt;=2,J7&lt;=2),"Lost","Need Attention")))))</f>
        <v>At Risk</v>
      </c>
    </row>
    <row r="8" customFormat="false" ht="15" hidden="false" customHeight="false" outlineLevel="0" collapsed="false">
      <c r="A8" s="4" t="s">
        <v>131</v>
      </c>
      <c r="B8" s="4" t="str">
        <f aca="false">IFERROR(INDEX('Transactions Data'!$C$5:$C$281,MATCH(A8,'Transactions Data'!$B$5:$B$281,0)),"")</f>
        <v>Zoe Johnson</v>
      </c>
      <c r="C8" s="4" t="str">
        <f aca="false">IFERROR(INDEX('Transactions Data'!$D$5:$D$281,MATCH(A8,'Transactions Data'!$B$5:$B$281,0)),"")</f>
        <v>United States</v>
      </c>
      <c r="D8" s="7" t="n">
        <f aca="false">DATE(YEAR(_xlfn.MINIFS('Transactions Data'!$E$5:$E$281,'Transactions Data'!$B$5:$B$281,A8)),MONTH(_xlfn.MINIFS('Transactions Data'!$E$5:$E$281,'Transactions Data'!$B$5:$B$281,A8)),1)</f>
        <v>45474</v>
      </c>
      <c r="E8" s="5" t="n">
        <f aca="false">_xlfn.MAXIFS('Transactions Data'!$E$5:$E$281,'Transactions Data'!$B$5:$B$281,A8)</f>
        <v>45490</v>
      </c>
      <c r="F8" s="4" t="n">
        <f aca="false">$C$3-E8</f>
        <v>168</v>
      </c>
      <c r="G8" s="4" t="n">
        <f aca="false">COUNTIFS('Transactions Data'!$B$5:$B$281,A8)</f>
        <v>1</v>
      </c>
      <c r="H8" s="6" t="n">
        <f aca="false">SUMIFS('Transactions Data'!$F$5:$F$281,'Transactions Data'!$B$5:$B$281,A8)</f>
        <v>131.97</v>
      </c>
      <c r="I8" s="4" t="n">
        <f aca="false">IF(F8&lt;=PERCENTILE($F$6:$F$75,0.2),5,IF(F8&lt;=PERCENTILE($F$6:$F$75,0.4),4,IF(F8&lt;=PERCENTILE($F$6:$F$75,0.6),3,IF(F8&lt;=PERCENTILE($F$6:$F$75,0.8),2,1))))</f>
        <v>4</v>
      </c>
      <c r="J8" s="4" t="n">
        <f aca="false">IF(G8&gt;=PERCENTILE($G$6:$G$75,0.8),5,IF(G8&gt;=PERCENTILE($G$6:$G$75,0.6),4,IF(G8&gt;=PERCENTILE($G$6:$G$75,0.4),3,IF(G8&gt;=PERCENTILE($G$6:$G$75,0.2),2,1))))</f>
        <v>2</v>
      </c>
      <c r="K8" s="4" t="n">
        <f aca="false">IF(H8&gt;=PERCENTILE($H$6:$H$75,0.8),5,IF(H8&gt;=PERCENTILE($H$6:$H$75,0.6),4,IF(H8&gt;=PERCENTILE($H$6:$H$75,0.4),3,IF(H8&gt;=PERCENTILE($H$6:$H$75,0.2),2,1))))</f>
        <v>2</v>
      </c>
      <c r="L8" s="10" t="str">
        <f aca="false">IF(AND(I8&gt;=4,J8&gt;=4),"Champions",IF(AND(I8&gt;=3,J8&gt;=4),"Loyal Customers",IF(AND(I8&gt;=4,J8&lt;=3),"Potential Loyalist",IF(AND(I8&lt;=2,J8&gt;=3),"At Risk",IF(AND(I8&lt;=2,J8&lt;=2),"Lost","Need Attention")))))</f>
        <v>Potential Loyalist</v>
      </c>
    </row>
    <row r="9" customFormat="false" ht="15" hidden="false" customHeight="false" outlineLevel="0" collapsed="false">
      <c r="A9" s="4" t="s">
        <v>135</v>
      </c>
      <c r="B9" s="4" t="str">
        <f aca="false">IFERROR(INDEX('Transactions Data'!$C$5:$C$281,MATCH(A9,'Transactions Data'!$B$5:$B$281,0)),"")</f>
        <v>Noah Brown</v>
      </c>
      <c r="C9" s="4" t="str">
        <f aca="false">IFERROR(INDEX('Transactions Data'!$D$5:$D$281,MATCH(A9,'Transactions Data'!$B$5:$B$281,0)),"")</f>
        <v>Germany</v>
      </c>
      <c r="D9" s="7" t="n">
        <f aca="false">DATE(YEAR(_xlfn.MINIFS('Transactions Data'!$E$5:$E$281,'Transactions Data'!$B$5:$B$281,A9)),MONTH(_xlfn.MINIFS('Transactions Data'!$E$5:$E$281,'Transactions Data'!$B$5:$B$281,A9)),1)</f>
        <v>45474</v>
      </c>
      <c r="E9" s="5" t="n">
        <f aca="false">_xlfn.MAXIFS('Transactions Data'!$E$5:$E$281,'Transactions Data'!$B$5:$B$281,A9)</f>
        <v>45496</v>
      </c>
      <c r="F9" s="4" t="n">
        <f aca="false">$C$3-E9</f>
        <v>162</v>
      </c>
      <c r="G9" s="4" t="n">
        <f aca="false">COUNTIFS('Transactions Data'!$B$5:$B$281,A9)</f>
        <v>1</v>
      </c>
      <c r="H9" s="6" t="n">
        <f aca="false">SUMIFS('Transactions Data'!$F$5:$F$281,'Transactions Data'!$B$5:$B$281,A9)</f>
        <v>52.59</v>
      </c>
      <c r="I9" s="4" t="n">
        <f aca="false">IF(F9&lt;=PERCENTILE($F$6:$F$75,0.2),5,IF(F9&lt;=PERCENTILE($F$6:$F$75,0.4),4,IF(F9&lt;=PERCENTILE($F$6:$F$75,0.6),3,IF(F9&lt;=PERCENTILE($F$6:$F$75,0.8),2,1))))</f>
        <v>4</v>
      </c>
      <c r="J9" s="4" t="n">
        <f aca="false">IF(G9&gt;=PERCENTILE($G$6:$G$75,0.8),5,IF(G9&gt;=PERCENTILE($G$6:$G$75,0.6),4,IF(G9&gt;=PERCENTILE($G$6:$G$75,0.4),3,IF(G9&gt;=PERCENTILE($G$6:$G$75,0.2),2,1))))</f>
        <v>2</v>
      </c>
      <c r="K9" s="4" t="n">
        <f aca="false">IF(H9&gt;=PERCENTILE($H$6:$H$75,0.8),5,IF(H9&gt;=PERCENTILE($H$6:$H$75,0.6),4,IF(H9&gt;=PERCENTILE($H$6:$H$75,0.4),3,IF(H9&gt;=PERCENTILE($H$6:$H$75,0.2),2,1))))</f>
        <v>1</v>
      </c>
      <c r="L9" s="10" t="str">
        <f aca="false">IF(AND(I9&gt;=4,J9&gt;=4),"Champions",IF(AND(I9&gt;=3,J9&gt;=4),"Loyal Customers",IF(AND(I9&gt;=4,J9&lt;=3),"Potential Loyalist",IF(AND(I9&lt;=2,J9&gt;=3),"At Risk",IF(AND(I9&lt;=2,J9&lt;=2),"Lost","Need Attention")))))</f>
        <v>Potential Loyalist</v>
      </c>
    </row>
    <row r="10" customFormat="false" ht="15" hidden="false" customHeight="false" outlineLevel="0" collapsed="false">
      <c r="A10" s="4" t="s">
        <v>19</v>
      </c>
      <c r="B10" s="4" t="str">
        <f aca="false">IFERROR(INDEX('Transactions Data'!$C$5:$C$281,MATCH(A10,'Transactions Data'!$B$5:$B$281,0)),"")</f>
        <v>Isabella Clark</v>
      </c>
      <c r="C10" s="4" t="str">
        <f aca="false">IFERROR(INDEX('Transactions Data'!$D$5:$D$281,MATCH(A10,'Transactions Data'!$B$5:$B$281,0)),"")</f>
        <v>Germany</v>
      </c>
      <c r="D10" s="7" t="n">
        <f aca="false">DATE(YEAR(_xlfn.MINIFS('Transactions Data'!$E$5:$E$281,'Transactions Data'!$B$5:$B$281,A10)),MONTH(_xlfn.MINIFS('Transactions Data'!$E$5:$E$281,'Transactions Data'!$B$5:$B$281,A10)),1)</f>
        <v>45292</v>
      </c>
      <c r="E10" s="5" t="n">
        <f aca="false">_xlfn.MAXIFS('Transactions Data'!$E$5:$E$281,'Transactions Data'!$B$5:$B$281,A10)</f>
        <v>45381</v>
      </c>
      <c r="F10" s="4" t="n">
        <f aca="false">$C$3-E10</f>
        <v>277</v>
      </c>
      <c r="G10" s="4" t="n">
        <f aca="false">COUNTIFS('Transactions Data'!$B$5:$B$281,A10)</f>
        <v>4</v>
      </c>
      <c r="H10" s="6" t="n">
        <f aca="false">SUMIFS('Transactions Data'!$F$5:$F$281,'Transactions Data'!$B$5:$B$281,A10)</f>
        <v>559.22</v>
      </c>
      <c r="I10" s="4" t="n">
        <f aca="false">IF(F10&lt;=PERCENTILE($F$6:$F$75,0.2),5,IF(F10&lt;=PERCENTILE($F$6:$F$75,0.4),4,IF(F10&lt;=PERCENTILE($F$6:$F$75,0.6),3,IF(F10&lt;=PERCENTILE($F$6:$F$75,0.8),2,1))))</f>
        <v>1</v>
      </c>
      <c r="J10" s="4" t="n">
        <f aca="false">IF(G10&gt;=PERCENTILE($G$6:$G$75,0.8),5,IF(G10&gt;=PERCENTILE($G$6:$G$75,0.6),4,IF(G10&gt;=PERCENTILE($G$6:$G$75,0.4),3,IF(G10&gt;=PERCENTILE($G$6:$G$75,0.2),2,1))))</f>
        <v>4</v>
      </c>
      <c r="K10" s="4" t="n">
        <f aca="false">IF(H10&gt;=PERCENTILE($H$6:$H$75,0.8),5,IF(H10&gt;=PERCENTILE($H$6:$H$75,0.6),4,IF(H10&gt;=PERCENTILE($H$6:$H$75,0.4),3,IF(H10&gt;=PERCENTILE($H$6:$H$75,0.2),2,1))))</f>
        <v>4</v>
      </c>
      <c r="L10" s="10" t="str">
        <f aca="false">IF(AND(I10&gt;=4,J10&gt;=4),"Champions",IF(AND(I10&gt;=3,J10&gt;=4),"Loyal Customers",IF(AND(I10&gt;=4,J10&lt;=3),"Potential Loyalist",IF(AND(I10&lt;=2,J10&gt;=3),"At Risk",IF(AND(I10&lt;=2,J10&lt;=2),"Lost","Need Attention")))))</f>
        <v>At Risk</v>
      </c>
    </row>
    <row r="11" customFormat="false" ht="15" hidden="false" customHeight="false" outlineLevel="0" collapsed="false">
      <c r="A11" s="4" t="s">
        <v>25</v>
      </c>
      <c r="B11" s="4" t="str">
        <f aca="false">IFERROR(INDEX('Transactions Data'!$C$5:$C$281,MATCH(A11,'Transactions Data'!$B$5:$B$281,0)),"")</f>
        <v>Mason Johnson</v>
      </c>
      <c r="C11" s="4" t="str">
        <f aca="false">IFERROR(INDEX('Transactions Data'!$D$5:$D$281,MATCH(A11,'Transactions Data'!$B$5:$B$281,0)),"")</f>
        <v>United Kingdom</v>
      </c>
      <c r="D11" s="7" t="n">
        <f aca="false">DATE(YEAR(_xlfn.MINIFS('Transactions Data'!$E$5:$E$281,'Transactions Data'!$B$5:$B$281,A11)),MONTH(_xlfn.MINIFS('Transactions Data'!$E$5:$E$281,'Transactions Data'!$B$5:$B$281,A11)),1)</f>
        <v>45292</v>
      </c>
      <c r="E11" s="5" t="n">
        <f aca="false">_xlfn.MAXIFS('Transactions Data'!$E$5:$E$281,'Transactions Data'!$B$5:$B$281,A11)</f>
        <v>45442</v>
      </c>
      <c r="F11" s="4" t="n">
        <f aca="false">$C$3-E11</f>
        <v>216</v>
      </c>
      <c r="G11" s="4" t="n">
        <f aca="false">COUNTIFS('Transactions Data'!$B$5:$B$281,A11)</f>
        <v>8</v>
      </c>
      <c r="H11" s="6" t="n">
        <f aca="false">SUMIFS('Transactions Data'!$F$5:$F$281,'Transactions Data'!$B$5:$B$281,A11)</f>
        <v>811.87</v>
      </c>
      <c r="I11" s="4" t="n">
        <f aca="false">IF(F11&lt;=PERCENTILE($F$6:$F$75,0.2),5,IF(F11&lt;=PERCENTILE($F$6:$F$75,0.4),4,IF(F11&lt;=PERCENTILE($F$6:$F$75,0.6),3,IF(F11&lt;=PERCENTILE($F$6:$F$75,0.8),2,1))))</f>
        <v>3</v>
      </c>
      <c r="J11" s="4" t="n">
        <f aca="false">IF(G11&gt;=PERCENTILE($G$6:$G$75,0.8),5,IF(G11&gt;=PERCENTILE($G$6:$G$75,0.6),4,IF(G11&gt;=PERCENTILE($G$6:$G$75,0.4),3,IF(G11&gt;=PERCENTILE($G$6:$G$75,0.2),2,1))))</f>
        <v>5</v>
      </c>
      <c r="K11" s="4" t="n">
        <f aca="false">IF(H11&gt;=PERCENTILE($H$6:$H$75,0.8),5,IF(H11&gt;=PERCENTILE($H$6:$H$75,0.6),4,IF(H11&gt;=PERCENTILE($H$6:$H$75,0.4),3,IF(H11&gt;=PERCENTILE($H$6:$H$75,0.2),2,1))))</f>
        <v>4</v>
      </c>
      <c r="L11" s="10" t="str">
        <f aca="false">IF(AND(I11&gt;=4,J11&gt;=4),"Champions",IF(AND(I11&gt;=3,J11&gt;=4),"Loyal Customers",IF(AND(I11&gt;=4,J11&lt;=3),"Potential Loyalist",IF(AND(I11&lt;=2,J11&gt;=3),"At Risk",IF(AND(I11&lt;=2,J11&lt;=2),"Lost","Need Attention")))))</f>
        <v>Loyal Customers</v>
      </c>
    </row>
    <row r="12" customFormat="false" ht="15" hidden="false" customHeight="false" outlineLevel="0" collapsed="false">
      <c r="A12" s="4" t="s">
        <v>59</v>
      </c>
      <c r="B12" s="4" t="str">
        <f aca="false">IFERROR(INDEX('Transactions Data'!$C$5:$C$281,MATCH(A12,'Transactions Data'!$B$5:$B$281,0)),"")</f>
        <v>Grace Walker</v>
      </c>
      <c r="C12" s="4" t="str">
        <f aca="false">IFERROR(INDEX('Transactions Data'!$D$5:$D$281,MATCH(A12,'Transactions Data'!$B$5:$B$281,0)),"")</f>
        <v>Australia</v>
      </c>
      <c r="D12" s="7" t="n">
        <f aca="false">DATE(YEAR(_xlfn.MINIFS('Transactions Data'!$E$5:$E$281,'Transactions Data'!$B$5:$B$281,A12)),MONTH(_xlfn.MINIFS('Transactions Data'!$E$5:$E$281,'Transactions Data'!$B$5:$B$281,A12)),1)</f>
        <v>45352</v>
      </c>
      <c r="E12" s="5" t="n">
        <f aca="false">_xlfn.MAXIFS('Transactions Data'!$E$5:$E$281,'Transactions Data'!$B$5:$B$281,A12)</f>
        <v>45390</v>
      </c>
      <c r="F12" s="4" t="n">
        <f aca="false">$C$3-E12</f>
        <v>268</v>
      </c>
      <c r="G12" s="4" t="n">
        <f aca="false">COUNTIFS('Transactions Data'!$B$5:$B$281,A12)</f>
        <v>3</v>
      </c>
      <c r="H12" s="6" t="n">
        <f aca="false">SUMIFS('Transactions Data'!$F$5:$F$281,'Transactions Data'!$B$5:$B$281,A12)</f>
        <v>485.26</v>
      </c>
      <c r="I12" s="4" t="n">
        <f aca="false">IF(F12&lt;=PERCENTILE($F$6:$F$75,0.2),5,IF(F12&lt;=PERCENTILE($F$6:$F$75,0.4),4,IF(F12&lt;=PERCENTILE($F$6:$F$75,0.6),3,IF(F12&lt;=PERCENTILE($F$6:$F$75,0.8),2,1))))</f>
        <v>2</v>
      </c>
      <c r="J12" s="4" t="n">
        <f aca="false">IF(G12&gt;=PERCENTILE($G$6:$G$75,0.8),5,IF(G12&gt;=PERCENTILE($G$6:$G$75,0.6),4,IF(G12&gt;=PERCENTILE($G$6:$G$75,0.4),3,IF(G12&gt;=PERCENTILE($G$6:$G$75,0.2),2,1))))</f>
        <v>4</v>
      </c>
      <c r="K12" s="4" t="n">
        <f aca="false">IF(H12&gt;=PERCENTILE($H$6:$H$75,0.8),5,IF(H12&gt;=PERCENTILE($H$6:$H$75,0.6),4,IF(H12&gt;=PERCENTILE($H$6:$H$75,0.4),3,IF(H12&gt;=PERCENTILE($H$6:$H$75,0.2),2,1))))</f>
        <v>4</v>
      </c>
      <c r="L12" s="10" t="str">
        <f aca="false">IF(AND(I12&gt;=4,J12&gt;=4),"Champions",IF(AND(I12&gt;=3,J12&gt;=4),"Loyal Customers",IF(AND(I12&gt;=4,J12&lt;=3),"Potential Loyalist",IF(AND(I12&lt;=2,J12&gt;=3),"At Risk",IF(AND(I12&lt;=2,J12&lt;=2),"Lost","Need Attention")))))</f>
        <v>At Risk</v>
      </c>
    </row>
    <row r="13" customFormat="false" ht="15" hidden="false" customHeight="false" outlineLevel="0" collapsed="false">
      <c r="A13" s="4" t="s">
        <v>39</v>
      </c>
      <c r="B13" s="4" t="str">
        <f aca="false">IFERROR(INDEX('Transactions Data'!$C$5:$C$281,MATCH(A13,'Transactions Data'!$B$5:$B$281,0)),"")</f>
        <v>Luna Adams</v>
      </c>
      <c r="C13" s="4" t="str">
        <f aca="false">IFERROR(INDEX('Transactions Data'!$D$5:$D$281,MATCH(A13,'Transactions Data'!$B$5:$B$281,0)),"")</f>
        <v>United Kingdom</v>
      </c>
      <c r="D13" s="7" t="n">
        <f aca="false">DATE(YEAR(_xlfn.MINIFS('Transactions Data'!$E$5:$E$281,'Transactions Data'!$B$5:$B$281,A13)),MONTH(_xlfn.MINIFS('Transactions Data'!$E$5:$E$281,'Transactions Data'!$B$5:$B$281,A13)),1)</f>
        <v>45323</v>
      </c>
      <c r="E13" s="5" t="n">
        <f aca="false">_xlfn.MAXIFS('Transactions Data'!$E$5:$E$281,'Transactions Data'!$B$5:$B$281,A13)</f>
        <v>45335</v>
      </c>
      <c r="F13" s="4" t="n">
        <f aca="false">$C$3-E13</f>
        <v>323</v>
      </c>
      <c r="G13" s="4" t="n">
        <f aca="false">COUNTIFS('Transactions Data'!$B$5:$B$281,A13)</f>
        <v>1</v>
      </c>
      <c r="H13" s="6" t="n">
        <f aca="false">SUMIFS('Transactions Data'!$F$5:$F$281,'Transactions Data'!$B$5:$B$281,A13)</f>
        <v>217.83</v>
      </c>
      <c r="I13" s="4" t="n">
        <f aca="false">IF(F13&lt;=PERCENTILE($F$6:$F$75,0.2),5,IF(F13&lt;=PERCENTILE($F$6:$F$75,0.4),4,IF(F13&lt;=PERCENTILE($F$6:$F$75,0.6),3,IF(F13&lt;=PERCENTILE($F$6:$F$75,0.8),2,1))))</f>
        <v>1</v>
      </c>
      <c r="J13" s="4" t="n">
        <f aca="false">IF(G13&gt;=PERCENTILE($G$6:$G$75,0.8),5,IF(G13&gt;=PERCENTILE($G$6:$G$75,0.6),4,IF(G13&gt;=PERCENTILE($G$6:$G$75,0.4),3,IF(G13&gt;=PERCENTILE($G$6:$G$75,0.2),2,1))))</f>
        <v>2</v>
      </c>
      <c r="K13" s="4" t="n">
        <f aca="false">IF(H13&gt;=PERCENTILE($H$6:$H$75,0.8),5,IF(H13&gt;=PERCENTILE($H$6:$H$75,0.6),4,IF(H13&gt;=PERCENTILE($H$6:$H$75,0.4),3,IF(H13&gt;=PERCENTILE($H$6:$H$75,0.2),2,1))))</f>
        <v>3</v>
      </c>
      <c r="L13" s="10" t="str">
        <f aca="false">IF(AND(I13&gt;=4,J13&gt;=4),"Champions",IF(AND(I13&gt;=3,J13&gt;=4),"Loyal Customers",IF(AND(I13&gt;=4,J13&lt;=3),"Potential Loyalist",IF(AND(I13&lt;=2,J13&gt;=3),"At Risk",IF(AND(I13&lt;=2,J13&lt;=2),"Lost","Need Attention")))))</f>
        <v>Lost</v>
      </c>
    </row>
    <row r="14" customFormat="false" ht="15" hidden="false" customHeight="false" outlineLevel="0" collapsed="false">
      <c r="A14" s="4" t="s">
        <v>45</v>
      </c>
      <c r="B14" s="4" t="str">
        <f aca="false">IFERROR(INDEX('Transactions Data'!$C$5:$C$281,MATCH(A14,'Transactions Data'!$B$5:$B$281,0)),"")</f>
        <v>Jack Young</v>
      </c>
      <c r="C14" s="4" t="str">
        <f aca="false">IFERROR(INDEX('Transactions Data'!$D$5:$D$281,MATCH(A14,'Transactions Data'!$B$5:$B$281,0)),"")</f>
        <v>United States</v>
      </c>
      <c r="D14" s="7" t="n">
        <f aca="false">DATE(YEAR(_xlfn.MINIFS('Transactions Data'!$E$5:$E$281,'Transactions Data'!$B$5:$B$281,A14)),MONTH(_xlfn.MINIFS('Transactions Data'!$E$5:$E$281,'Transactions Data'!$B$5:$B$281,A14)),1)</f>
        <v>45323</v>
      </c>
      <c r="E14" s="5" t="n">
        <f aca="false">_xlfn.MAXIFS('Transactions Data'!$E$5:$E$281,'Transactions Data'!$B$5:$B$281,A14)</f>
        <v>45392</v>
      </c>
      <c r="F14" s="4" t="n">
        <f aca="false">$C$3-E14</f>
        <v>266</v>
      </c>
      <c r="G14" s="4" t="n">
        <f aca="false">COUNTIFS('Transactions Data'!$B$5:$B$281,A14)</f>
        <v>3</v>
      </c>
      <c r="H14" s="6" t="n">
        <f aca="false">SUMIFS('Transactions Data'!$F$5:$F$281,'Transactions Data'!$B$5:$B$281,A14)</f>
        <v>456</v>
      </c>
      <c r="I14" s="4" t="n">
        <f aca="false">IF(F14&lt;=PERCENTILE($F$6:$F$75,0.2),5,IF(F14&lt;=PERCENTILE($F$6:$F$75,0.4),4,IF(F14&lt;=PERCENTILE($F$6:$F$75,0.6),3,IF(F14&lt;=PERCENTILE($F$6:$F$75,0.8),2,1))))</f>
        <v>2</v>
      </c>
      <c r="J14" s="4" t="n">
        <f aca="false">IF(G14&gt;=PERCENTILE($G$6:$G$75,0.8),5,IF(G14&gt;=PERCENTILE($G$6:$G$75,0.6),4,IF(G14&gt;=PERCENTILE($G$6:$G$75,0.4),3,IF(G14&gt;=PERCENTILE($G$6:$G$75,0.2),2,1))))</f>
        <v>4</v>
      </c>
      <c r="K14" s="4" t="n">
        <f aca="false">IF(H14&gt;=PERCENTILE($H$6:$H$75,0.8),5,IF(H14&gt;=PERCENTILE($H$6:$H$75,0.6),4,IF(H14&gt;=PERCENTILE($H$6:$H$75,0.4),3,IF(H14&gt;=PERCENTILE($H$6:$H$75,0.2),2,1))))</f>
        <v>4</v>
      </c>
      <c r="L14" s="10" t="str">
        <f aca="false">IF(AND(I14&gt;=4,J14&gt;=4),"Champions",IF(AND(I14&gt;=3,J14&gt;=4),"Loyal Customers",IF(AND(I14&gt;=4,J14&lt;=3),"Potential Loyalist",IF(AND(I14&lt;=2,J14&gt;=3),"At Risk",IF(AND(I14&lt;=2,J14&lt;=2),"Lost","Need Attention")))))</f>
        <v>At Risk</v>
      </c>
    </row>
    <row r="15" customFormat="false" ht="15" hidden="false" customHeight="false" outlineLevel="0" collapsed="false">
      <c r="A15" s="4" t="s">
        <v>127</v>
      </c>
      <c r="B15" s="4" t="str">
        <f aca="false">IFERROR(INDEX('Transactions Data'!$C$5:$C$281,MATCH(A15,'Transactions Data'!$B$5:$B$281,0)),"")</f>
        <v>Ryan Green</v>
      </c>
      <c r="C15" s="4" t="str">
        <f aca="false">IFERROR(INDEX('Transactions Data'!$D$5:$D$281,MATCH(A15,'Transactions Data'!$B$5:$B$281,0)),"")</f>
        <v>Germany</v>
      </c>
      <c r="D15" s="7" t="n">
        <f aca="false">DATE(YEAR(_xlfn.MINIFS('Transactions Data'!$E$5:$E$281,'Transactions Data'!$B$5:$B$281,A15)),MONTH(_xlfn.MINIFS('Transactions Data'!$E$5:$E$281,'Transactions Data'!$B$5:$B$281,A15)),1)</f>
        <v>45474</v>
      </c>
      <c r="E15" s="5" t="n">
        <f aca="false">_xlfn.MAXIFS('Transactions Data'!$E$5:$E$281,'Transactions Data'!$B$5:$B$281,A15)</f>
        <v>45482</v>
      </c>
      <c r="F15" s="4" t="n">
        <f aca="false">$C$3-E15</f>
        <v>176</v>
      </c>
      <c r="G15" s="4" t="n">
        <f aca="false">COUNTIFS('Transactions Data'!$B$5:$B$281,A15)</f>
        <v>1</v>
      </c>
      <c r="H15" s="6" t="n">
        <f aca="false">SUMIFS('Transactions Data'!$F$5:$F$281,'Transactions Data'!$B$5:$B$281,A15)</f>
        <v>106.39</v>
      </c>
      <c r="I15" s="4" t="n">
        <f aca="false">IF(F15&lt;=PERCENTILE($F$6:$F$75,0.2),5,IF(F15&lt;=PERCENTILE($F$6:$F$75,0.4),4,IF(F15&lt;=PERCENTILE($F$6:$F$75,0.6),3,IF(F15&lt;=PERCENTILE($F$6:$F$75,0.8),2,1))))</f>
        <v>3</v>
      </c>
      <c r="J15" s="4" t="n">
        <f aca="false">IF(G15&gt;=PERCENTILE($G$6:$G$75,0.8),5,IF(G15&gt;=PERCENTILE($G$6:$G$75,0.6),4,IF(G15&gt;=PERCENTILE($G$6:$G$75,0.4),3,IF(G15&gt;=PERCENTILE($G$6:$G$75,0.2),2,1))))</f>
        <v>2</v>
      </c>
      <c r="K15" s="4" t="n">
        <f aca="false">IF(H15&gt;=PERCENTILE($H$6:$H$75,0.8),5,IF(H15&gt;=PERCENTILE($H$6:$H$75,0.6),4,IF(H15&gt;=PERCENTILE($H$6:$H$75,0.4),3,IF(H15&gt;=PERCENTILE($H$6:$H$75,0.2),2,1))))</f>
        <v>1</v>
      </c>
      <c r="L15" s="10" t="str">
        <f aca="false">IF(AND(I15&gt;=4,J15&gt;=4),"Champions",IF(AND(I15&gt;=3,J15&gt;=4),"Loyal Customers",IF(AND(I15&gt;=4,J15&lt;=3),"Potential Loyalist",IF(AND(I15&lt;=2,J15&gt;=3),"At Risk",IF(AND(I15&lt;=2,J15&lt;=2),"Lost","Need Attention")))))</f>
        <v>Need Attention</v>
      </c>
    </row>
    <row r="16" customFormat="false" ht="15" hidden="false" customHeight="false" outlineLevel="0" collapsed="false">
      <c r="A16" s="4" t="s">
        <v>97</v>
      </c>
      <c r="B16" s="4" t="str">
        <f aca="false">IFERROR(INDEX('Transactions Data'!$C$5:$C$281,MATCH(A16,'Transactions Data'!$B$5:$B$281,0)),"")</f>
        <v>Aurora Nelson</v>
      </c>
      <c r="C16" s="4" t="str">
        <f aca="false">IFERROR(INDEX('Transactions Data'!$D$5:$D$281,MATCH(A16,'Transactions Data'!$B$5:$B$281,0)),"")</f>
        <v>Australia</v>
      </c>
      <c r="D16" s="7" t="n">
        <f aca="false">DATE(YEAR(_xlfn.MINIFS('Transactions Data'!$E$5:$E$281,'Transactions Data'!$B$5:$B$281,A16)),MONTH(_xlfn.MINIFS('Transactions Data'!$E$5:$E$281,'Transactions Data'!$B$5:$B$281,A16)),1)</f>
        <v>45444</v>
      </c>
      <c r="E16" s="5" t="n">
        <f aca="false">_xlfn.MAXIFS('Transactions Data'!$E$5:$E$281,'Transactions Data'!$B$5:$B$281,A16)</f>
        <v>45642</v>
      </c>
      <c r="F16" s="4" t="n">
        <f aca="false">$C$3-E16</f>
        <v>16</v>
      </c>
      <c r="G16" s="4" t="n">
        <f aca="false">COUNTIFS('Transactions Data'!$B$5:$B$281,A16)</f>
        <v>11</v>
      </c>
      <c r="H16" s="6" t="n">
        <f aca="false">SUMIFS('Transactions Data'!$F$5:$F$281,'Transactions Data'!$B$5:$B$281,A16)</f>
        <v>1406.95</v>
      </c>
      <c r="I16" s="4" t="n">
        <f aca="false">IF(F16&lt;=PERCENTILE($F$6:$F$75,0.2),5,IF(F16&lt;=PERCENTILE($F$6:$F$75,0.4),4,IF(F16&lt;=PERCENTILE($F$6:$F$75,0.6),3,IF(F16&lt;=PERCENTILE($F$6:$F$75,0.8),2,1))))</f>
        <v>5</v>
      </c>
      <c r="J16" s="4" t="n">
        <f aca="false">IF(G16&gt;=PERCENTILE($G$6:$G$75,0.8),5,IF(G16&gt;=PERCENTILE($G$6:$G$75,0.6),4,IF(G16&gt;=PERCENTILE($G$6:$G$75,0.4),3,IF(G16&gt;=PERCENTILE($G$6:$G$75,0.2),2,1))))</f>
        <v>5</v>
      </c>
      <c r="K16" s="4" t="n">
        <f aca="false">IF(H16&gt;=PERCENTILE($H$6:$H$75,0.8),5,IF(H16&gt;=PERCENTILE($H$6:$H$75,0.6),4,IF(H16&gt;=PERCENTILE($H$6:$H$75,0.4),3,IF(H16&gt;=PERCENTILE($H$6:$H$75,0.2),2,1))))</f>
        <v>5</v>
      </c>
      <c r="L16" s="10" t="str">
        <f aca="false">IF(AND(I16&gt;=4,J16&gt;=4),"Champions",IF(AND(I16&gt;=3,J16&gt;=4),"Loyal Customers",IF(AND(I16&gt;=4,J16&lt;=3),"Potential Loyalist",IF(AND(I16&lt;=2,J16&gt;=3),"At Risk",IF(AND(I16&lt;=2,J16&lt;=2),"Lost","Need Attention")))))</f>
        <v>Champions</v>
      </c>
    </row>
    <row r="17" customFormat="false" ht="15" hidden="false" customHeight="false" outlineLevel="0" collapsed="false">
      <c r="A17" s="4" t="s">
        <v>83</v>
      </c>
      <c r="B17" s="4" t="str">
        <f aca="false">IFERROR(INDEX('Transactions Data'!$C$5:$C$281,MATCH(A17,'Transactions Data'!$B$5:$B$281,0)),"")</f>
        <v>Ella Clark</v>
      </c>
      <c r="C17" s="4" t="str">
        <f aca="false">IFERROR(INDEX('Transactions Data'!$D$5:$D$281,MATCH(A17,'Transactions Data'!$B$5:$B$281,0)),"")</f>
        <v>United States</v>
      </c>
      <c r="D17" s="7" t="n">
        <f aca="false">DATE(YEAR(_xlfn.MINIFS('Transactions Data'!$E$5:$E$281,'Transactions Data'!$B$5:$B$281,A17)),MONTH(_xlfn.MINIFS('Transactions Data'!$E$5:$E$281,'Transactions Data'!$B$5:$B$281,A17)),1)</f>
        <v>45413</v>
      </c>
      <c r="E17" s="5" t="n">
        <f aca="false">_xlfn.MAXIFS('Transactions Data'!$E$5:$E$281,'Transactions Data'!$B$5:$B$281,A17)</f>
        <v>45414</v>
      </c>
      <c r="F17" s="4" t="n">
        <f aca="false">$C$3-E17</f>
        <v>244</v>
      </c>
      <c r="G17" s="4" t="n">
        <f aca="false">COUNTIFS('Transactions Data'!$B$5:$B$281,A17)</f>
        <v>1</v>
      </c>
      <c r="H17" s="6" t="n">
        <f aca="false">SUMIFS('Transactions Data'!$F$5:$F$281,'Transactions Data'!$B$5:$B$281,A17)</f>
        <v>184.1</v>
      </c>
      <c r="I17" s="4" t="n">
        <f aca="false">IF(F17&lt;=PERCENTILE($F$6:$F$75,0.2),5,IF(F17&lt;=PERCENTILE($F$6:$F$75,0.4),4,IF(F17&lt;=PERCENTILE($F$6:$F$75,0.6),3,IF(F17&lt;=PERCENTILE($F$6:$F$75,0.8),2,1))))</f>
        <v>2</v>
      </c>
      <c r="J17" s="4" t="n">
        <f aca="false">IF(G17&gt;=PERCENTILE($G$6:$G$75,0.8),5,IF(G17&gt;=PERCENTILE($G$6:$G$75,0.6),4,IF(G17&gt;=PERCENTILE($G$6:$G$75,0.4),3,IF(G17&gt;=PERCENTILE($G$6:$G$75,0.2),2,1))))</f>
        <v>2</v>
      </c>
      <c r="K17" s="4" t="n">
        <f aca="false">IF(H17&gt;=PERCENTILE($H$6:$H$75,0.8),5,IF(H17&gt;=PERCENTILE($H$6:$H$75,0.6),4,IF(H17&gt;=PERCENTILE($H$6:$H$75,0.4),3,IF(H17&gt;=PERCENTILE($H$6:$H$75,0.2),2,1))))</f>
        <v>2</v>
      </c>
      <c r="L17" s="10" t="str">
        <f aca="false">IF(AND(I17&gt;=4,J17&gt;=4),"Champions",IF(AND(I17&gt;=3,J17&gt;=4),"Loyal Customers",IF(AND(I17&gt;=4,J17&lt;=3),"Potential Loyalist",IF(AND(I17&lt;=2,J17&gt;=3),"At Risk",IF(AND(I17&lt;=2,J17&lt;=2),"Lost","Need Attention")))))</f>
        <v>Lost</v>
      </c>
    </row>
    <row r="18" customFormat="false" ht="15" hidden="false" customHeight="false" outlineLevel="0" collapsed="false">
      <c r="A18" s="4" t="s">
        <v>49</v>
      </c>
      <c r="B18" s="4" t="str">
        <f aca="false">IFERROR(INDEX('Transactions Data'!$C$5:$C$281,MATCH(A18,'Transactions Data'!$B$5:$B$281,0)),"")</f>
        <v>Stella Scott</v>
      </c>
      <c r="C18" s="4" t="str">
        <f aca="false">IFERROR(INDEX('Transactions Data'!$D$5:$D$281,MATCH(A18,'Transactions Data'!$B$5:$B$281,0)),"")</f>
        <v>Canada</v>
      </c>
      <c r="D18" s="7" t="n">
        <f aca="false">DATE(YEAR(_xlfn.MINIFS('Transactions Data'!$E$5:$E$281,'Transactions Data'!$B$5:$B$281,A18)),MONTH(_xlfn.MINIFS('Transactions Data'!$E$5:$E$281,'Transactions Data'!$B$5:$B$281,A18)),1)</f>
        <v>45323</v>
      </c>
      <c r="E18" s="5" t="n">
        <f aca="false">_xlfn.MAXIFS('Transactions Data'!$E$5:$E$281,'Transactions Data'!$B$5:$B$281,A18)</f>
        <v>45404</v>
      </c>
      <c r="F18" s="4" t="n">
        <f aca="false">$C$3-E18</f>
        <v>254</v>
      </c>
      <c r="G18" s="4" t="n">
        <f aca="false">COUNTIFS('Transactions Data'!$B$5:$B$281,A18)</f>
        <v>3</v>
      </c>
      <c r="H18" s="6" t="n">
        <f aca="false">SUMIFS('Transactions Data'!$F$5:$F$281,'Transactions Data'!$B$5:$B$281,A18)</f>
        <v>447.77</v>
      </c>
      <c r="I18" s="4" t="n">
        <f aca="false">IF(F18&lt;=PERCENTILE($F$6:$F$75,0.2),5,IF(F18&lt;=PERCENTILE($F$6:$F$75,0.4),4,IF(F18&lt;=PERCENTILE($F$6:$F$75,0.6),3,IF(F18&lt;=PERCENTILE($F$6:$F$75,0.8),2,1))))</f>
        <v>2</v>
      </c>
      <c r="J18" s="4" t="n">
        <f aca="false">IF(G18&gt;=PERCENTILE($G$6:$G$75,0.8),5,IF(G18&gt;=PERCENTILE($G$6:$G$75,0.6),4,IF(G18&gt;=PERCENTILE($G$6:$G$75,0.4),3,IF(G18&gt;=PERCENTILE($G$6:$G$75,0.2),2,1))))</f>
        <v>4</v>
      </c>
      <c r="K18" s="4" t="n">
        <f aca="false">IF(H18&gt;=PERCENTILE($H$6:$H$75,0.8),5,IF(H18&gt;=PERCENTILE($H$6:$H$75,0.6),4,IF(H18&gt;=PERCENTILE($H$6:$H$75,0.4),3,IF(H18&gt;=PERCENTILE($H$6:$H$75,0.2),2,1))))</f>
        <v>4</v>
      </c>
      <c r="L18" s="10" t="str">
        <f aca="false">IF(AND(I18&gt;=4,J18&gt;=4),"Champions",IF(AND(I18&gt;=3,J18&gt;=4),"Loyal Customers",IF(AND(I18&gt;=4,J18&lt;=3),"Potential Loyalist",IF(AND(I18&lt;=2,J18&gt;=3),"At Risk",IF(AND(I18&lt;=2,J18&lt;=2),"Lost","Need Attention")))))</f>
        <v>At Risk</v>
      </c>
    </row>
    <row r="19" customFormat="false" ht="15" hidden="false" customHeight="false" outlineLevel="0" collapsed="false">
      <c r="A19" s="4" t="s">
        <v>53</v>
      </c>
      <c r="B19" s="4" t="str">
        <f aca="false">IFERROR(INDEX('Transactions Data'!$C$5:$C$281,MATCH(A19,'Transactions Data'!$B$5:$B$281,0)),"")</f>
        <v>Scarlett Wilson</v>
      </c>
      <c r="C19" s="4" t="str">
        <f aca="false">IFERROR(INDEX('Transactions Data'!$D$5:$D$281,MATCH(A19,'Transactions Data'!$B$5:$B$281,0)),"")</f>
        <v>Canada</v>
      </c>
      <c r="D19" s="7" t="n">
        <f aca="false">DATE(YEAR(_xlfn.MINIFS('Transactions Data'!$E$5:$E$281,'Transactions Data'!$B$5:$B$281,A19)),MONTH(_xlfn.MINIFS('Transactions Data'!$E$5:$E$281,'Transactions Data'!$B$5:$B$281,A19)),1)</f>
        <v>45352</v>
      </c>
      <c r="E19" s="5" t="n">
        <f aca="false">_xlfn.MAXIFS('Transactions Data'!$E$5:$E$281,'Transactions Data'!$B$5:$B$281,A19)</f>
        <v>45359</v>
      </c>
      <c r="F19" s="4" t="n">
        <f aca="false">$C$3-E19</f>
        <v>299</v>
      </c>
      <c r="G19" s="4" t="n">
        <f aca="false">COUNTIFS('Transactions Data'!$B$5:$B$281,A19)</f>
        <v>2</v>
      </c>
      <c r="H19" s="6" t="n">
        <f aca="false">SUMIFS('Transactions Data'!$F$5:$F$281,'Transactions Data'!$B$5:$B$281,A19)</f>
        <v>74.72</v>
      </c>
      <c r="I19" s="4" t="n">
        <f aca="false">IF(F19&lt;=PERCENTILE($F$6:$F$75,0.2),5,IF(F19&lt;=PERCENTILE($F$6:$F$75,0.4),4,IF(F19&lt;=PERCENTILE($F$6:$F$75,0.6),3,IF(F19&lt;=PERCENTILE($F$6:$F$75,0.8),2,1))))</f>
        <v>1</v>
      </c>
      <c r="J19" s="4" t="n">
        <f aca="false">IF(G19&gt;=PERCENTILE($G$6:$G$75,0.8),5,IF(G19&gt;=PERCENTILE($G$6:$G$75,0.6),4,IF(G19&gt;=PERCENTILE($G$6:$G$75,0.4),3,IF(G19&gt;=PERCENTILE($G$6:$G$75,0.2),2,1))))</f>
        <v>3</v>
      </c>
      <c r="K19" s="4" t="n">
        <f aca="false">IF(H19&gt;=PERCENTILE($H$6:$H$75,0.8),5,IF(H19&gt;=PERCENTILE($H$6:$H$75,0.6),4,IF(H19&gt;=PERCENTILE($H$6:$H$75,0.4),3,IF(H19&gt;=PERCENTILE($H$6:$H$75,0.2),2,1))))</f>
        <v>1</v>
      </c>
      <c r="L19" s="10" t="str">
        <f aca="false">IF(AND(I19&gt;=4,J19&gt;=4),"Champions",IF(AND(I19&gt;=3,J19&gt;=4),"Loyal Customers",IF(AND(I19&gt;=4,J19&lt;=3),"Potential Loyalist",IF(AND(I19&lt;=2,J19&gt;=3),"At Risk",IF(AND(I19&lt;=2,J19&lt;=2),"Lost","Need Attention")))))</f>
        <v>At Risk</v>
      </c>
    </row>
    <row r="20" customFormat="false" ht="15" hidden="false" customHeight="false" outlineLevel="0" collapsed="false">
      <c r="A20" s="4" t="s">
        <v>95</v>
      </c>
      <c r="B20" s="4" t="str">
        <f aca="false">IFERROR(INDEX('Transactions Data'!$C$5:$C$281,MATCH(A20,'Transactions Data'!$B$5:$B$281,0)),"")</f>
        <v>Scarlett Johnson</v>
      </c>
      <c r="C20" s="4" t="str">
        <f aca="false">IFERROR(INDEX('Transactions Data'!$D$5:$D$281,MATCH(A20,'Transactions Data'!$B$5:$B$281,0)),"")</f>
        <v>United States</v>
      </c>
      <c r="D20" s="7" t="n">
        <f aca="false">DATE(YEAR(_xlfn.MINIFS('Transactions Data'!$E$5:$E$281,'Transactions Data'!$B$5:$B$281,A20)),MONTH(_xlfn.MINIFS('Transactions Data'!$E$5:$E$281,'Transactions Data'!$B$5:$B$281,A20)),1)</f>
        <v>45444</v>
      </c>
      <c r="E20" s="5" t="n">
        <f aca="false">_xlfn.MAXIFS('Transactions Data'!$E$5:$E$281,'Transactions Data'!$B$5:$B$281,A20)</f>
        <v>45461</v>
      </c>
      <c r="F20" s="4" t="n">
        <f aca="false">$C$3-E20</f>
        <v>197</v>
      </c>
      <c r="G20" s="4" t="n">
        <f aca="false">COUNTIFS('Transactions Data'!$B$5:$B$281,A20)</f>
        <v>2</v>
      </c>
      <c r="H20" s="6" t="n">
        <f aca="false">SUMIFS('Transactions Data'!$F$5:$F$281,'Transactions Data'!$B$5:$B$281,A20)</f>
        <v>168.79</v>
      </c>
      <c r="I20" s="4" t="n">
        <f aca="false">IF(F20&lt;=PERCENTILE($F$6:$F$75,0.2),5,IF(F20&lt;=PERCENTILE($F$6:$F$75,0.4),4,IF(F20&lt;=PERCENTILE($F$6:$F$75,0.6),3,IF(F20&lt;=PERCENTILE($F$6:$F$75,0.8),2,1))))</f>
        <v>3</v>
      </c>
      <c r="J20" s="4" t="n">
        <f aca="false">IF(G20&gt;=PERCENTILE($G$6:$G$75,0.8),5,IF(G20&gt;=PERCENTILE($G$6:$G$75,0.6),4,IF(G20&gt;=PERCENTILE($G$6:$G$75,0.4),3,IF(G20&gt;=PERCENTILE($G$6:$G$75,0.2),2,1))))</f>
        <v>3</v>
      </c>
      <c r="K20" s="4" t="n">
        <f aca="false">IF(H20&gt;=PERCENTILE($H$6:$H$75,0.8),5,IF(H20&gt;=PERCENTILE($H$6:$H$75,0.6),4,IF(H20&gt;=PERCENTILE($H$6:$H$75,0.4),3,IF(H20&gt;=PERCENTILE($H$6:$H$75,0.2),2,1))))</f>
        <v>2</v>
      </c>
      <c r="L20" s="10" t="str">
        <f aca="false">IF(AND(I20&gt;=4,J20&gt;=4),"Champions",IF(AND(I20&gt;=3,J20&gt;=4),"Loyal Customers",IF(AND(I20&gt;=4,J20&lt;=3),"Potential Loyalist",IF(AND(I20&lt;=2,J20&gt;=3),"At Risk",IF(AND(I20&lt;=2,J20&lt;=2),"Lost","Need Attention")))))</f>
        <v>Need Attention</v>
      </c>
    </row>
    <row r="21" customFormat="false" ht="15" hidden="false" customHeight="false" outlineLevel="0" collapsed="false">
      <c r="A21" s="4" t="s">
        <v>151</v>
      </c>
      <c r="B21" s="4" t="str">
        <f aca="false">IFERROR(INDEX('Transactions Data'!$C$5:$C$281,MATCH(A21,'Transactions Data'!$B$5:$B$281,0)),"")</f>
        <v>Oscar Carter</v>
      </c>
      <c r="C21" s="4" t="str">
        <f aca="false">IFERROR(INDEX('Transactions Data'!$D$5:$D$281,MATCH(A21,'Transactions Data'!$B$5:$B$281,0)),"")</f>
        <v>Australia</v>
      </c>
      <c r="D21" s="7" t="n">
        <f aca="false">DATE(YEAR(_xlfn.MINIFS('Transactions Data'!$E$5:$E$281,'Transactions Data'!$B$5:$B$281,A21)),MONTH(_xlfn.MINIFS('Transactions Data'!$E$5:$E$281,'Transactions Data'!$B$5:$B$281,A21)),1)</f>
        <v>45505</v>
      </c>
      <c r="E21" s="5" t="n">
        <f aca="false">_xlfn.MAXIFS('Transactions Data'!$E$5:$E$281,'Transactions Data'!$B$5:$B$281,A21)</f>
        <v>45530</v>
      </c>
      <c r="F21" s="4" t="n">
        <f aca="false">$C$3-E21</f>
        <v>128</v>
      </c>
      <c r="G21" s="4" t="n">
        <f aca="false">COUNTIFS('Transactions Data'!$B$5:$B$281,A21)</f>
        <v>1</v>
      </c>
      <c r="H21" s="6" t="n">
        <f aca="false">SUMIFS('Transactions Data'!$F$5:$F$281,'Transactions Data'!$B$5:$B$281,A21)</f>
        <v>29.37</v>
      </c>
      <c r="I21" s="4" t="n">
        <f aca="false">IF(F21&lt;=PERCENTILE($F$6:$F$75,0.2),5,IF(F21&lt;=PERCENTILE($F$6:$F$75,0.4),4,IF(F21&lt;=PERCENTILE($F$6:$F$75,0.6),3,IF(F21&lt;=PERCENTILE($F$6:$F$75,0.8),2,1))))</f>
        <v>4</v>
      </c>
      <c r="J21" s="4" t="n">
        <f aca="false">IF(G21&gt;=PERCENTILE($G$6:$G$75,0.8),5,IF(G21&gt;=PERCENTILE($G$6:$G$75,0.6),4,IF(G21&gt;=PERCENTILE($G$6:$G$75,0.4),3,IF(G21&gt;=PERCENTILE($G$6:$G$75,0.2),2,1))))</f>
        <v>2</v>
      </c>
      <c r="K21" s="4" t="n">
        <f aca="false">IF(H21&gt;=PERCENTILE($H$6:$H$75,0.8),5,IF(H21&gt;=PERCENTILE($H$6:$H$75,0.6),4,IF(H21&gt;=PERCENTILE($H$6:$H$75,0.4),3,IF(H21&gt;=PERCENTILE($H$6:$H$75,0.2),2,1))))</f>
        <v>1</v>
      </c>
      <c r="L21" s="10" t="str">
        <f aca="false">IF(AND(I21&gt;=4,J21&gt;=4),"Champions",IF(AND(I21&gt;=3,J21&gt;=4),"Loyal Customers",IF(AND(I21&gt;=4,J21&lt;=3),"Potential Loyalist",IF(AND(I21&lt;=2,J21&gt;=3),"At Risk",IF(AND(I21&lt;=2,J21&lt;=2),"Lost","Need Attention")))))</f>
        <v>Potential Loyalist</v>
      </c>
    </row>
    <row r="22" customFormat="false" ht="15" hidden="false" customHeight="false" outlineLevel="0" collapsed="false">
      <c r="A22" s="4" t="s">
        <v>43</v>
      </c>
      <c r="B22" s="4" t="str">
        <f aca="false">IFERROR(INDEX('Transactions Data'!$C$5:$C$281,MATCH(A22,'Transactions Data'!$B$5:$B$281,0)),"")</f>
        <v>Ava Lewis</v>
      </c>
      <c r="C22" s="4" t="str">
        <f aca="false">IFERROR(INDEX('Transactions Data'!$D$5:$D$281,MATCH(A22,'Transactions Data'!$B$5:$B$281,0)),"")</f>
        <v>Australia</v>
      </c>
      <c r="D22" s="7" t="n">
        <f aca="false">DATE(YEAR(_xlfn.MINIFS('Transactions Data'!$E$5:$E$281,'Transactions Data'!$B$5:$B$281,A22)),MONTH(_xlfn.MINIFS('Transactions Data'!$E$5:$E$281,'Transactions Data'!$B$5:$B$281,A22)),1)</f>
        <v>45323</v>
      </c>
      <c r="E22" s="5" t="n">
        <f aca="false">_xlfn.MAXIFS('Transactions Data'!$E$5:$E$281,'Transactions Data'!$B$5:$B$281,A22)</f>
        <v>45580</v>
      </c>
      <c r="F22" s="4" t="n">
        <f aca="false">$C$3-E22</f>
        <v>78</v>
      </c>
      <c r="G22" s="4" t="n">
        <f aca="false">COUNTIFS('Transactions Data'!$B$5:$B$281,A22)</f>
        <v>11</v>
      </c>
      <c r="H22" s="6" t="n">
        <f aca="false">SUMIFS('Transactions Data'!$F$5:$F$281,'Transactions Data'!$B$5:$B$281,A22)</f>
        <v>1095.71</v>
      </c>
      <c r="I22" s="4" t="n">
        <f aca="false">IF(F22&lt;=PERCENTILE($F$6:$F$75,0.2),5,IF(F22&lt;=PERCENTILE($F$6:$F$75,0.4),4,IF(F22&lt;=PERCENTILE($F$6:$F$75,0.6),3,IF(F22&lt;=PERCENTILE($F$6:$F$75,0.8),2,1))))</f>
        <v>5</v>
      </c>
      <c r="J22" s="4" t="n">
        <f aca="false">IF(G22&gt;=PERCENTILE($G$6:$G$75,0.8),5,IF(G22&gt;=PERCENTILE($G$6:$G$75,0.6),4,IF(G22&gt;=PERCENTILE($G$6:$G$75,0.4),3,IF(G22&gt;=PERCENTILE($G$6:$G$75,0.2),2,1))))</f>
        <v>5</v>
      </c>
      <c r="K22" s="4" t="n">
        <f aca="false">IF(H22&gt;=PERCENTILE($H$6:$H$75,0.8),5,IF(H22&gt;=PERCENTILE($H$6:$H$75,0.6),4,IF(H22&gt;=PERCENTILE($H$6:$H$75,0.4),3,IF(H22&gt;=PERCENTILE($H$6:$H$75,0.2),2,1))))</f>
        <v>5</v>
      </c>
      <c r="L22" s="10" t="str">
        <f aca="false">IF(AND(I22&gt;=4,J22&gt;=4),"Champions",IF(AND(I22&gt;=3,J22&gt;=4),"Loyal Customers",IF(AND(I22&gt;=4,J22&lt;=3),"Potential Loyalist",IF(AND(I22&lt;=2,J22&gt;=3),"At Risk",IF(AND(I22&lt;=2,J22&lt;=2),"Lost","Need Attention")))))</f>
        <v>Champions</v>
      </c>
    </row>
    <row r="23" customFormat="false" ht="15" hidden="false" customHeight="false" outlineLevel="0" collapsed="false">
      <c r="A23" s="4" t="s">
        <v>85</v>
      </c>
      <c r="B23" s="4" t="str">
        <f aca="false">IFERROR(INDEX('Transactions Data'!$C$5:$C$281,MATCH(A23,'Transactions Data'!$B$5:$B$281,0)),"")</f>
        <v>Luna Nelson</v>
      </c>
      <c r="C23" s="4" t="str">
        <f aca="false">IFERROR(INDEX('Transactions Data'!$D$5:$D$281,MATCH(A23,'Transactions Data'!$B$5:$B$281,0)),"")</f>
        <v>Australia</v>
      </c>
      <c r="D23" s="7" t="n">
        <f aca="false">DATE(YEAR(_xlfn.MINIFS('Transactions Data'!$E$5:$E$281,'Transactions Data'!$B$5:$B$281,A23)),MONTH(_xlfn.MINIFS('Transactions Data'!$E$5:$E$281,'Transactions Data'!$B$5:$B$281,A23)),1)</f>
        <v>45413</v>
      </c>
      <c r="E23" s="5" t="n">
        <f aca="false">_xlfn.MAXIFS('Transactions Data'!$E$5:$E$281,'Transactions Data'!$B$5:$B$281,A23)</f>
        <v>45470</v>
      </c>
      <c r="F23" s="4" t="n">
        <f aca="false">$C$3-E23</f>
        <v>188</v>
      </c>
      <c r="G23" s="4" t="n">
        <f aca="false">COUNTIFS('Transactions Data'!$B$5:$B$281,A23)</f>
        <v>2</v>
      </c>
      <c r="H23" s="6" t="n">
        <f aca="false">SUMIFS('Transactions Data'!$F$5:$F$281,'Transactions Data'!$B$5:$B$281,A23)</f>
        <v>325.79</v>
      </c>
      <c r="I23" s="4" t="n">
        <f aca="false">IF(F23&lt;=PERCENTILE($F$6:$F$75,0.2),5,IF(F23&lt;=PERCENTILE($F$6:$F$75,0.4),4,IF(F23&lt;=PERCENTILE($F$6:$F$75,0.6),3,IF(F23&lt;=PERCENTILE($F$6:$F$75,0.8),2,1))))</f>
        <v>3</v>
      </c>
      <c r="J23" s="4" t="n">
        <f aca="false">IF(G23&gt;=PERCENTILE($G$6:$G$75,0.8),5,IF(G23&gt;=PERCENTILE($G$6:$G$75,0.6),4,IF(G23&gt;=PERCENTILE($G$6:$G$75,0.4),3,IF(G23&gt;=PERCENTILE($G$6:$G$75,0.2),2,1))))</f>
        <v>3</v>
      </c>
      <c r="K23" s="4" t="n">
        <f aca="false">IF(H23&gt;=PERCENTILE($H$6:$H$75,0.8),5,IF(H23&gt;=PERCENTILE($H$6:$H$75,0.6),4,IF(H23&gt;=PERCENTILE($H$6:$H$75,0.4),3,IF(H23&gt;=PERCENTILE($H$6:$H$75,0.2),2,1))))</f>
        <v>3</v>
      </c>
      <c r="L23" s="10" t="str">
        <f aca="false">IF(AND(I23&gt;=4,J23&gt;=4),"Champions",IF(AND(I23&gt;=3,J23&gt;=4),"Loyal Customers",IF(AND(I23&gt;=4,J23&lt;=3),"Potential Loyalist",IF(AND(I23&lt;=2,J23&gt;=3),"At Risk",IF(AND(I23&lt;=2,J23&lt;=2),"Lost","Need Attention")))))</f>
        <v>Need Attention</v>
      </c>
    </row>
    <row r="24" customFormat="false" ht="15" hidden="false" customHeight="false" outlineLevel="0" collapsed="false">
      <c r="A24" s="4" t="s">
        <v>119</v>
      </c>
      <c r="B24" s="4" t="str">
        <f aca="false">IFERROR(INDEX('Transactions Data'!$C$5:$C$281,MATCH(A24,'Transactions Data'!$B$5:$B$281,0)),"")</f>
        <v>Oscar Smith</v>
      </c>
      <c r="C24" s="4" t="str">
        <f aca="false">IFERROR(INDEX('Transactions Data'!$D$5:$D$281,MATCH(A24,'Transactions Data'!$B$5:$B$281,0)),"")</f>
        <v>Australia</v>
      </c>
      <c r="D24" s="7" t="n">
        <f aca="false">DATE(YEAR(_xlfn.MINIFS('Transactions Data'!$E$5:$E$281,'Transactions Data'!$B$5:$B$281,A24)),MONTH(_xlfn.MINIFS('Transactions Data'!$E$5:$E$281,'Transactions Data'!$B$5:$B$281,A24)),1)</f>
        <v>45444</v>
      </c>
      <c r="E24" s="5" t="n">
        <f aca="false">_xlfn.MAXIFS('Transactions Data'!$E$5:$E$281,'Transactions Data'!$B$5:$B$281,A24)</f>
        <v>45653</v>
      </c>
      <c r="F24" s="4" t="n">
        <f aca="false">$C$3-E24</f>
        <v>5</v>
      </c>
      <c r="G24" s="4" t="n">
        <f aca="false">COUNTIFS('Transactions Data'!$B$5:$B$281,A24)</f>
        <v>8</v>
      </c>
      <c r="H24" s="6" t="n">
        <f aca="false">SUMIFS('Transactions Data'!$F$5:$F$281,'Transactions Data'!$B$5:$B$281,A24)</f>
        <v>1185.61</v>
      </c>
      <c r="I24" s="4" t="n">
        <f aca="false">IF(F24&lt;=PERCENTILE($F$6:$F$75,0.2),5,IF(F24&lt;=PERCENTILE($F$6:$F$75,0.4),4,IF(F24&lt;=PERCENTILE($F$6:$F$75,0.6),3,IF(F24&lt;=PERCENTILE($F$6:$F$75,0.8),2,1))))</f>
        <v>5</v>
      </c>
      <c r="J24" s="4" t="n">
        <f aca="false">IF(G24&gt;=PERCENTILE($G$6:$G$75,0.8),5,IF(G24&gt;=PERCENTILE($G$6:$G$75,0.6),4,IF(G24&gt;=PERCENTILE($G$6:$G$75,0.4),3,IF(G24&gt;=PERCENTILE($G$6:$G$75,0.2),2,1))))</f>
        <v>5</v>
      </c>
      <c r="K24" s="4" t="n">
        <f aca="false">IF(H24&gt;=PERCENTILE($H$6:$H$75,0.8),5,IF(H24&gt;=PERCENTILE($H$6:$H$75,0.6),4,IF(H24&gt;=PERCENTILE($H$6:$H$75,0.4),3,IF(H24&gt;=PERCENTILE($H$6:$H$75,0.2),2,1))))</f>
        <v>5</v>
      </c>
      <c r="L24" s="10" t="str">
        <f aca="false">IF(AND(I24&gt;=4,J24&gt;=4),"Champions",IF(AND(I24&gt;=3,J24&gt;=4),"Loyal Customers",IF(AND(I24&gt;=4,J24&lt;=3),"Potential Loyalist",IF(AND(I24&lt;=2,J24&gt;=3),"At Risk",IF(AND(I24&lt;=2,J24&lt;=2),"Lost","Need Attention")))))</f>
        <v>Champions</v>
      </c>
    </row>
    <row r="25" customFormat="false" ht="15" hidden="false" customHeight="false" outlineLevel="0" collapsed="false">
      <c r="A25" s="4" t="s">
        <v>75</v>
      </c>
      <c r="B25" s="4" t="str">
        <f aca="false">IFERROR(INDEX('Transactions Data'!$C$5:$C$281,MATCH(A25,'Transactions Data'!$B$5:$B$281,0)),"")</f>
        <v>Thomas Green</v>
      </c>
      <c r="C25" s="4" t="str">
        <f aca="false">IFERROR(INDEX('Transactions Data'!$D$5:$D$281,MATCH(A25,'Transactions Data'!$B$5:$B$281,0)),"")</f>
        <v>United States</v>
      </c>
      <c r="D25" s="7" t="n">
        <f aca="false">DATE(YEAR(_xlfn.MINIFS('Transactions Data'!$E$5:$E$281,'Transactions Data'!$B$5:$B$281,A25)),MONTH(_xlfn.MINIFS('Transactions Data'!$E$5:$E$281,'Transactions Data'!$B$5:$B$281,A25)),1)</f>
        <v>45383</v>
      </c>
      <c r="E25" s="5" t="n">
        <f aca="false">_xlfn.MAXIFS('Transactions Data'!$E$5:$E$281,'Transactions Data'!$B$5:$B$281,A25)</f>
        <v>45395</v>
      </c>
      <c r="F25" s="4" t="n">
        <f aca="false">$C$3-E25</f>
        <v>263</v>
      </c>
      <c r="G25" s="4" t="n">
        <f aca="false">COUNTIFS('Transactions Data'!$B$5:$B$281,A25)</f>
        <v>1</v>
      </c>
      <c r="H25" s="6" t="n">
        <f aca="false">SUMIFS('Transactions Data'!$F$5:$F$281,'Transactions Data'!$B$5:$B$281,A25)</f>
        <v>39.61</v>
      </c>
      <c r="I25" s="4" t="n">
        <f aca="false">IF(F25&lt;=PERCENTILE($F$6:$F$75,0.2),5,IF(F25&lt;=PERCENTILE($F$6:$F$75,0.4),4,IF(F25&lt;=PERCENTILE($F$6:$F$75,0.6),3,IF(F25&lt;=PERCENTILE($F$6:$F$75,0.8),2,1))))</f>
        <v>2</v>
      </c>
      <c r="J25" s="4" t="n">
        <f aca="false">IF(G25&gt;=PERCENTILE($G$6:$G$75,0.8),5,IF(G25&gt;=PERCENTILE($G$6:$G$75,0.6),4,IF(G25&gt;=PERCENTILE($G$6:$G$75,0.4),3,IF(G25&gt;=PERCENTILE($G$6:$G$75,0.2),2,1))))</f>
        <v>2</v>
      </c>
      <c r="K25" s="4" t="n">
        <f aca="false">IF(H25&gt;=PERCENTILE($H$6:$H$75,0.8),5,IF(H25&gt;=PERCENTILE($H$6:$H$75,0.6),4,IF(H25&gt;=PERCENTILE($H$6:$H$75,0.4),3,IF(H25&gt;=PERCENTILE($H$6:$H$75,0.2),2,1))))</f>
        <v>1</v>
      </c>
      <c r="L25" s="10" t="str">
        <f aca="false">IF(AND(I25&gt;=4,J25&gt;=4),"Champions",IF(AND(I25&gt;=3,J25&gt;=4),"Loyal Customers",IF(AND(I25&gt;=4,J25&lt;=3),"Potential Loyalist",IF(AND(I25&lt;=2,J25&gt;=3),"At Risk",IF(AND(I25&lt;=2,J25&lt;=2),"Lost","Need Attention")))))</f>
        <v>Lost</v>
      </c>
    </row>
    <row r="26" customFormat="false" ht="15" hidden="false" customHeight="false" outlineLevel="0" collapsed="false">
      <c r="A26" s="4" t="s">
        <v>125</v>
      </c>
      <c r="B26" s="4" t="str">
        <f aca="false">IFERROR(INDEX('Transactions Data'!$C$5:$C$281,MATCH(A26,'Transactions Data'!$B$5:$B$281,0)),"")</f>
        <v>Charles Clark</v>
      </c>
      <c r="C26" s="4" t="str">
        <f aca="false">IFERROR(INDEX('Transactions Data'!$D$5:$D$281,MATCH(A26,'Transactions Data'!$B$5:$B$281,0)),"")</f>
        <v>Australia</v>
      </c>
      <c r="D26" s="7" t="n">
        <f aca="false">DATE(YEAR(_xlfn.MINIFS('Transactions Data'!$E$5:$E$281,'Transactions Data'!$B$5:$B$281,A26)),MONTH(_xlfn.MINIFS('Transactions Data'!$E$5:$E$281,'Transactions Data'!$B$5:$B$281,A26)),1)</f>
        <v>45474</v>
      </c>
      <c r="E26" s="5" t="n">
        <f aca="false">_xlfn.MAXIFS('Transactions Data'!$E$5:$E$281,'Transactions Data'!$B$5:$B$281,A26)</f>
        <v>45501</v>
      </c>
      <c r="F26" s="4" t="n">
        <f aca="false">$C$3-E26</f>
        <v>157</v>
      </c>
      <c r="G26" s="4" t="n">
        <f aca="false">COUNTIFS('Transactions Data'!$B$5:$B$281,A26)</f>
        <v>3</v>
      </c>
      <c r="H26" s="6" t="n">
        <f aca="false">SUMIFS('Transactions Data'!$F$5:$F$281,'Transactions Data'!$B$5:$B$281,A26)</f>
        <v>298.23</v>
      </c>
      <c r="I26" s="4" t="n">
        <f aca="false">IF(F26&lt;=PERCENTILE($F$6:$F$75,0.2),5,IF(F26&lt;=PERCENTILE($F$6:$F$75,0.4),4,IF(F26&lt;=PERCENTILE($F$6:$F$75,0.6),3,IF(F26&lt;=PERCENTILE($F$6:$F$75,0.8),2,1))))</f>
        <v>4</v>
      </c>
      <c r="J26" s="4" t="n">
        <f aca="false">IF(G26&gt;=PERCENTILE($G$6:$G$75,0.8),5,IF(G26&gt;=PERCENTILE($G$6:$G$75,0.6),4,IF(G26&gt;=PERCENTILE($G$6:$G$75,0.4),3,IF(G26&gt;=PERCENTILE($G$6:$G$75,0.2),2,1))))</f>
        <v>4</v>
      </c>
      <c r="K26" s="4" t="n">
        <f aca="false">IF(H26&gt;=PERCENTILE($H$6:$H$75,0.8),5,IF(H26&gt;=PERCENTILE($H$6:$H$75,0.6),4,IF(H26&gt;=PERCENTILE($H$6:$H$75,0.4),3,IF(H26&gt;=PERCENTILE($H$6:$H$75,0.2),2,1))))</f>
        <v>3</v>
      </c>
      <c r="L26" s="10" t="str">
        <f aca="false">IF(AND(I26&gt;=4,J26&gt;=4),"Champions",IF(AND(I26&gt;=3,J26&gt;=4),"Loyal Customers",IF(AND(I26&gt;=4,J26&lt;=3),"Potential Loyalist",IF(AND(I26&lt;=2,J26&gt;=3),"At Risk",IF(AND(I26&lt;=2,J26&lt;=2),"Lost","Need Attention")))))</f>
        <v>Champions</v>
      </c>
    </row>
    <row r="27" customFormat="false" ht="15" hidden="false" customHeight="false" outlineLevel="0" collapsed="false">
      <c r="A27" s="4" t="s">
        <v>139</v>
      </c>
      <c r="B27" s="4" t="str">
        <f aca="false">IFERROR(INDEX('Transactions Data'!$C$5:$C$281,MATCH(A27,'Transactions Data'!$B$5:$B$281,0)),"")</f>
        <v>Brooklyn Brown</v>
      </c>
      <c r="C27" s="4" t="str">
        <f aca="false">IFERROR(INDEX('Transactions Data'!$D$5:$D$281,MATCH(A27,'Transactions Data'!$B$5:$B$281,0)),"")</f>
        <v>United Kingdom</v>
      </c>
      <c r="D27" s="7" t="n">
        <f aca="false">DATE(YEAR(_xlfn.MINIFS('Transactions Data'!$E$5:$E$281,'Transactions Data'!$B$5:$B$281,A27)),MONTH(_xlfn.MINIFS('Transactions Data'!$E$5:$E$281,'Transactions Data'!$B$5:$B$281,A27)),1)</f>
        <v>45505</v>
      </c>
      <c r="E27" s="5" t="n">
        <f aca="false">_xlfn.MAXIFS('Transactions Data'!$E$5:$E$281,'Transactions Data'!$B$5:$B$281,A27)</f>
        <v>45590</v>
      </c>
      <c r="F27" s="4" t="n">
        <f aca="false">$C$3-E27</f>
        <v>68</v>
      </c>
      <c r="G27" s="4" t="n">
        <f aca="false">COUNTIFS('Transactions Data'!$B$5:$B$281,A27)</f>
        <v>4</v>
      </c>
      <c r="H27" s="6" t="n">
        <f aca="false">SUMIFS('Transactions Data'!$F$5:$F$281,'Transactions Data'!$B$5:$B$281,A27)</f>
        <v>584.93</v>
      </c>
      <c r="I27" s="4" t="n">
        <f aca="false">IF(F27&lt;=PERCENTILE($F$6:$F$75,0.2),5,IF(F27&lt;=PERCENTILE($F$6:$F$75,0.4),4,IF(F27&lt;=PERCENTILE($F$6:$F$75,0.6),3,IF(F27&lt;=PERCENTILE($F$6:$F$75,0.8),2,1))))</f>
        <v>5</v>
      </c>
      <c r="J27" s="4" t="n">
        <f aca="false">IF(G27&gt;=PERCENTILE($G$6:$G$75,0.8),5,IF(G27&gt;=PERCENTILE($G$6:$G$75,0.6),4,IF(G27&gt;=PERCENTILE($G$6:$G$75,0.4),3,IF(G27&gt;=PERCENTILE($G$6:$G$75,0.2),2,1))))</f>
        <v>4</v>
      </c>
      <c r="K27" s="4" t="n">
        <f aca="false">IF(H27&gt;=PERCENTILE($H$6:$H$75,0.8),5,IF(H27&gt;=PERCENTILE($H$6:$H$75,0.6),4,IF(H27&gt;=PERCENTILE($H$6:$H$75,0.4),3,IF(H27&gt;=PERCENTILE($H$6:$H$75,0.2),2,1))))</f>
        <v>4</v>
      </c>
      <c r="L27" s="10" t="str">
        <f aca="false">IF(AND(I27&gt;=4,J27&gt;=4),"Champions",IF(AND(I27&gt;=3,J27&gt;=4),"Loyal Customers",IF(AND(I27&gt;=4,J27&lt;=3),"Potential Loyalist",IF(AND(I27&lt;=2,J27&gt;=3),"At Risk",IF(AND(I27&lt;=2,J27&lt;=2),"Lost","Need Attention")))))</f>
        <v>Champions</v>
      </c>
    </row>
    <row r="28" customFormat="false" ht="15" hidden="false" customHeight="false" outlineLevel="0" collapsed="false">
      <c r="A28" s="4" t="s">
        <v>91</v>
      </c>
      <c r="B28" s="4" t="str">
        <f aca="false">IFERROR(INDEX('Transactions Data'!$C$5:$C$281,MATCH(A28,'Transactions Data'!$B$5:$B$281,0)),"")</f>
        <v>Nora Anderson</v>
      </c>
      <c r="C28" s="4" t="str">
        <f aca="false">IFERROR(INDEX('Transactions Data'!$D$5:$D$281,MATCH(A28,'Transactions Data'!$B$5:$B$281,0)),"")</f>
        <v>Australia</v>
      </c>
      <c r="D28" s="7" t="n">
        <f aca="false">DATE(YEAR(_xlfn.MINIFS('Transactions Data'!$E$5:$E$281,'Transactions Data'!$B$5:$B$281,A28)),MONTH(_xlfn.MINIFS('Transactions Data'!$E$5:$E$281,'Transactions Data'!$B$5:$B$281,A28)),1)</f>
        <v>45413</v>
      </c>
      <c r="E28" s="5" t="n">
        <f aca="false">_xlfn.MAXIFS('Transactions Data'!$E$5:$E$281,'Transactions Data'!$B$5:$B$281,A28)</f>
        <v>45441</v>
      </c>
      <c r="F28" s="4" t="n">
        <f aca="false">$C$3-E28</f>
        <v>217</v>
      </c>
      <c r="G28" s="4" t="n">
        <f aca="false">COUNTIFS('Transactions Data'!$B$5:$B$281,A28)</f>
        <v>2</v>
      </c>
      <c r="H28" s="6" t="n">
        <f aca="false">SUMIFS('Transactions Data'!$F$5:$F$281,'Transactions Data'!$B$5:$B$281,A28)</f>
        <v>304.85</v>
      </c>
      <c r="I28" s="4" t="n">
        <f aca="false">IF(F28&lt;=PERCENTILE($F$6:$F$75,0.2),5,IF(F28&lt;=PERCENTILE($F$6:$F$75,0.4),4,IF(F28&lt;=PERCENTILE($F$6:$F$75,0.6),3,IF(F28&lt;=PERCENTILE($F$6:$F$75,0.8),2,1))))</f>
        <v>2</v>
      </c>
      <c r="J28" s="4" t="n">
        <f aca="false">IF(G28&gt;=PERCENTILE($G$6:$G$75,0.8),5,IF(G28&gt;=PERCENTILE($G$6:$G$75,0.6),4,IF(G28&gt;=PERCENTILE($G$6:$G$75,0.4),3,IF(G28&gt;=PERCENTILE($G$6:$G$75,0.2),2,1))))</f>
        <v>3</v>
      </c>
      <c r="K28" s="4" t="n">
        <f aca="false">IF(H28&gt;=PERCENTILE($H$6:$H$75,0.8),5,IF(H28&gt;=PERCENTILE($H$6:$H$75,0.6),4,IF(H28&gt;=PERCENTILE($H$6:$H$75,0.4),3,IF(H28&gt;=PERCENTILE($H$6:$H$75,0.2),2,1))))</f>
        <v>3</v>
      </c>
      <c r="L28" s="10" t="str">
        <f aca="false">IF(AND(I28&gt;=4,J28&gt;=4),"Champions",IF(AND(I28&gt;=3,J28&gt;=4),"Loyal Customers",IF(AND(I28&gt;=4,J28&lt;=3),"Potential Loyalist",IF(AND(I28&lt;=2,J28&gt;=3),"At Risk",IF(AND(I28&lt;=2,J28&lt;=2),"Lost","Need Attention")))))</f>
        <v>At Risk</v>
      </c>
    </row>
    <row r="29" customFormat="false" ht="15" hidden="false" customHeight="false" outlineLevel="0" collapsed="false">
      <c r="A29" s="4" t="s">
        <v>63</v>
      </c>
      <c r="B29" s="4" t="str">
        <f aca="false">IFERROR(INDEX('Transactions Data'!$C$5:$C$281,MATCH(A29,'Transactions Data'!$B$5:$B$281,0)),"")</f>
        <v>Willow King</v>
      </c>
      <c r="C29" s="4" t="str">
        <f aca="false">IFERROR(INDEX('Transactions Data'!$D$5:$D$281,MATCH(A29,'Transactions Data'!$B$5:$B$281,0)),"")</f>
        <v>United Kingdom</v>
      </c>
      <c r="D29" s="7" t="n">
        <f aca="false">DATE(YEAR(_xlfn.MINIFS('Transactions Data'!$E$5:$E$281,'Transactions Data'!$B$5:$B$281,A29)),MONTH(_xlfn.MINIFS('Transactions Data'!$E$5:$E$281,'Transactions Data'!$B$5:$B$281,A29)),1)</f>
        <v>45352</v>
      </c>
      <c r="E29" s="5" t="n">
        <f aca="false">_xlfn.MAXIFS('Transactions Data'!$E$5:$E$281,'Transactions Data'!$B$5:$B$281,A29)</f>
        <v>45637</v>
      </c>
      <c r="F29" s="4" t="n">
        <f aca="false">$C$3-E29</f>
        <v>21</v>
      </c>
      <c r="G29" s="4" t="n">
        <f aca="false">COUNTIFS('Transactions Data'!$B$5:$B$281,A29)</f>
        <v>16</v>
      </c>
      <c r="H29" s="6" t="n">
        <f aca="false">SUMIFS('Transactions Data'!$F$5:$F$281,'Transactions Data'!$B$5:$B$281,A29)</f>
        <v>1704.59</v>
      </c>
      <c r="I29" s="4" t="n">
        <f aca="false">IF(F29&lt;=PERCENTILE($F$6:$F$75,0.2),5,IF(F29&lt;=PERCENTILE($F$6:$F$75,0.4),4,IF(F29&lt;=PERCENTILE($F$6:$F$75,0.6),3,IF(F29&lt;=PERCENTILE($F$6:$F$75,0.8),2,1))))</f>
        <v>5</v>
      </c>
      <c r="J29" s="4" t="n">
        <f aca="false">IF(G29&gt;=PERCENTILE($G$6:$G$75,0.8),5,IF(G29&gt;=PERCENTILE($G$6:$G$75,0.6),4,IF(G29&gt;=PERCENTILE($G$6:$G$75,0.4),3,IF(G29&gt;=PERCENTILE($G$6:$G$75,0.2),2,1))))</f>
        <v>5</v>
      </c>
      <c r="K29" s="4" t="n">
        <f aca="false">IF(H29&gt;=PERCENTILE($H$6:$H$75,0.8),5,IF(H29&gt;=PERCENTILE($H$6:$H$75,0.6),4,IF(H29&gt;=PERCENTILE($H$6:$H$75,0.4),3,IF(H29&gt;=PERCENTILE($H$6:$H$75,0.2),2,1))))</f>
        <v>5</v>
      </c>
      <c r="L29" s="10" t="str">
        <f aca="false">IF(AND(I29&gt;=4,J29&gt;=4),"Champions",IF(AND(I29&gt;=3,J29&gt;=4),"Loyal Customers",IF(AND(I29&gt;=4,J29&lt;=3),"Potential Loyalist",IF(AND(I29&lt;=2,J29&gt;=3),"At Risk",IF(AND(I29&lt;=2,J29&lt;=2),"Lost","Need Attention")))))</f>
        <v>Champions</v>
      </c>
    </row>
    <row r="30" customFormat="false" ht="15" hidden="false" customHeight="false" outlineLevel="0" collapsed="false">
      <c r="A30" s="4" t="s">
        <v>27</v>
      </c>
      <c r="B30" s="4" t="str">
        <f aca="false">IFERROR(INDEX('Transactions Data'!$C$5:$C$281,MATCH(A30,'Transactions Data'!$B$5:$B$281,0)),"")</f>
        <v>Chloe Clark</v>
      </c>
      <c r="C30" s="4" t="str">
        <f aca="false">IFERROR(INDEX('Transactions Data'!$D$5:$D$281,MATCH(A30,'Transactions Data'!$B$5:$B$281,0)),"")</f>
        <v>United Kingdom</v>
      </c>
      <c r="D30" s="7" t="n">
        <f aca="false">DATE(YEAR(_xlfn.MINIFS('Transactions Data'!$E$5:$E$281,'Transactions Data'!$B$5:$B$281,A30)),MONTH(_xlfn.MINIFS('Transactions Data'!$E$5:$E$281,'Transactions Data'!$B$5:$B$281,A30)),1)</f>
        <v>45292</v>
      </c>
      <c r="E30" s="5" t="n">
        <f aca="false">_xlfn.MAXIFS('Transactions Data'!$E$5:$E$281,'Transactions Data'!$B$5:$B$281,A30)</f>
        <v>45396</v>
      </c>
      <c r="F30" s="4" t="n">
        <f aca="false">$C$3-E30</f>
        <v>262</v>
      </c>
      <c r="G30" s="4" t="n">
        <f aca="false">COUNTIFS('Transactions Data'!$B$5:$B$281,A30)</f>
        <v>6</v>
      </c>
      <c r="H30" s="6" t="n">
        <f aca="false">SUMIFS('Transactions Data'!$F$5:$F$281,'Transactions Data'!$B$5:$B$281,A30)</f>
        <v>631.79</v>
      </c>
      <c r="I30" s="4" t="n">
        <f aca="false">IF(F30&lt;=PERCENTILE($F$6:$F$75,0.2),5,IF(F30&lt;=PERCENTILE($F$6:$F$75,0.4),4,IF(F30&lt;=PERCENTILE($F$6:$F$75,0.6),3,IF(F30&lt;=PERCENTILE($F$6:$F$75,0.8),2,1))))</f>
        <v>2</v>
      </c>
      <c r="J30" s="4" t="n">
        <f aca="false">IF(G30&gt;=PERCENTILE($G$6:$G$75,0.8),5,IF(G30&gt;=PERCENTILE($G$6:$G$75,0.6),4,IF(G30&gt;=PERCENTILE($G$6:$G$75,0.4),3,IF(G30&gt;=PERCENTILE($G$6:$G$75,0.2),2,1))))</f>
        <v>4</v>
      </c>
      <c r="K30" s="4" t="n">
        <f aca="false">IF(H30&gt;=PERCENTILE($H$6:$H$75,0.8),5,IF(H30&gt;=PERCENTILE($H$6:$H$75,0.6),4,IF(H30&gt;=PERCENTILE($H$6:$H$75,0.4),3,IF(H30&gt;=PERCENTILE($H$6:$H$75,0.2),2,1))))</f>
        <v>4</v>
      </c>
      <c r="L30" s="10" t="str">
        <f aca="false">IF(AND(I30&gt;=4,J30&gt;=4),"Champions",IF(AND(I30&gt;=3,J30&gt;=4),"Loyal Customers",IF(AND(I30&gt;=4,J30&lt;=3),"Potential Loyalist",IF(AND(I30&lt;=2,J30&gt;=3),"At Risk",IF(AND(I30&lt;=2,J30&lt;=2),"Lost","Need Attention")))))</f>
        <v>At Risk</v>
      </c>
    </row>
    <row r="31" customFormat="false" ht="15" hidden="false" customHeight="false" outlineLevel="0" collapsed="false">
      <c r="A31" s="4" t="s">
        <v>10</v>
      </c>
      <c r="B31" s="4" t="str">
        <f aca="false">IFERROR(INDEX('Transactions Data'!$C$5:$C$281,MATCH(A31,'Transactions Data'!$B$5:$B$281,0)),"")</f>
        <v>Ella Lewis</v>
      </c>
      <c r="C31" s="4" t="str">
        <f aca="false">IFERROR(INDEX('Transactions Data'!$D$5:$D$281,MATCH(A31,'Transactions Data'!$B$5:$B$281,0)),"")</f>
        <v>Canada</v>
      </c>
      <c r="D31" s="7" t="n">
        <f aca="false">DATE(YEAR(_xlfn.MINIFS('Transactions Data'!$E$5:$E$281,'Transactions Data'!$B$5:$B$281,A31)),MONTH(_xlfn.MINIFS('Transactions Data'!$E$5:$E$281,'Transactions Data'!$B$5:$B$281,A31)),1)</f>
        <v>45292</v>
      </c>
      <c r="E31" s="5" t="n">
        <f aca="false">_xlfn.MAXIFS('Transactions Data'!$E$5:$E$281,'Transactions Data'!$B$5:$B$281,A31)</f>
        <v>45292</v>
      </c>
      <c r="F31" s="4" t="n">
        <f aca="false">$C$3-E31</f>
        <v>366</v>
      </c>
      <c r="G31" s="4" t="n">
        <f aca="false">COUNTIFS('Transactions Data'!$B$5:$B$281,A31)</f>
        <v>1</v>
      </c>
      <c r="H31" s="6" t="n">
        <f aca="false">SUMIFS('Transactions Data'!$F$5:$F$281,'Transactions Data'!$B$5:$B$281,A31)</f>
        <v>29.99</v>
      </c>
      <c r="I31" s="4" t="n">
        <f aca="false">IF(F31&lt;=PERCENTILE($F$6:$F$75,0.2),5,IF(F31&lt;=PERCENTILE($F$6:$F$75,0.4),4,IF(F31&lt;=PERCENTILE($F$6:$F$75,0.6),3,IF(F31&lt;=PERCENTILE($F$6:$F$75,0.8),2,1))))</f>
        <v>1</v>
      </c>
      <c r="J31" s="4" t="n">
        <f aca="false">IF(G31&gt;=PERCENTILE($G$6:$G$75,0.8),5,IF(G31&gt;=PERCENTILE($G$6:$G$75,0.6),4,IF(G31&gt;=PERCENTILE($G$6:$G$75,0.4),3,IF(G31&gt;=PERCENTILE($G$6:$G$75,0.2),2,1))))</f>
        <v>2</v>
      </c>
      <c r="K31" s="4" t="n">
        <f aca="false">IF(H31&gt;=PERCENTILE($H$6:$H$75,0.8),5,IF(H31&gt;=PERCENTILE($H$6:$H$75,0.6),4,IF(H31&gt;=PERCENTILE($H$6:$H$75,0.4),3,IF(H31&gt;=PERCENTILE($H$6:$H$75,0.2),2,1))))</f>
        <v>1</v>
      </c>
      <c r="L31" s="10" t="str">
        <f aca="false">IF(AND(I31&gt;=4,J31&gt;=4),"Champions",IF(AND(I31&gt;=3,J31&gt;=4),"Loyal Customers",IF(AND(I31&gt;=4,J31&lt;=3),"Potential Loyalist",IF(AND(I31&lt;=2,J31&gt;=3),"At Risk",IF(AND(I31&lt;=2,J31&lt;=2),"Lost","Need Attention")))))</f>
        <v>Lost</v>
      </c>
    </row>
    <row r="32" customFormat="false" ht="15" hidden="false" customHeight="false" outlineLevel="0" collapsed="false">
      <c r="A32" s="4" t="s">
        <v>113</v>
      </c>
      <c r="B32" s="4" t="str">
        <f aca="false">IFERROR(INDEX('Transactions Data'!$C$5:$C$281,MATCH(A32,'Transactions Data'!$B$5:$B$281,0)),"")</f>
        <v>Wyatt Young</v>
      </c>
      <c r="C32" s="4" t="str">
        <f aca="false">IFERROR(INDEX('Transactions Data'!$D$5:$D$281,MATCH(A32,'Transactions Data'!$B$5:$B$281,0)),"")</f>
        <v>Germany</v>
      </c>
      <c r="D32" s="7" t="n">
        <f aca="false">DATE(YEAR(_xlfn.MINIFS('Transactions Data'!$E$5:$E$281,'Transactions Data'!$B$5:$B$281,A32)),MONTH(_xlfn.MINIFS('Transactions Data'!$E$5:$E$281,'Transactions Data'!$B$5:$B$281,A32)),1)</f>
        <v>45444</v>
      </c>
      <c r="E32" s="5" t="n">
        <f aca="false">_xlfn.MAXIFS('Transactions Data'!$E$5:$E$281,'Transactions Data'!$B$5:$B$281,A32)</f>
        <v>45458</v>
      </c>
      <c r="F32" s="4" t="n">
        <f aca="false">$C$3-E32</f>
        <v>200</v>
      </c>
      <c r="G32" s="4" t="n">
        <f aca="false">COUNTIFS('Transactions Data'!$B$5:$B$281,A32)</f>
        <v>1</v>
      </c>
      <c r="H32" s="6" t="n">
        <f aca="false">SUMIFS('Transactions Data'!$F$5:$F$281,'Transactions Data'!$B$5:$B$281,A32)</f>
        <v>214.31</v>
      </c>
      <c r="I32" s="4" t="n">
        <f aca="false">IF(F32&lt;=PERCENTILE($F$6:$F$75,0.2),5,IF(F32&lt;=PERCENTILE($F$6:$F$75,0.4),4,IF(F32&lt;=PERCENTILE($F$6:$F$75,0.6),3,IF(F32&lt;=PERCENTILE($F$6:$F$75,0.8),2,1))))</f>
        <v>3</v>
      </c>
      <c r="J32" s="4" t="n">
        <f aca="false">IF(G32&gt;=PERCENTILE($G$6:$G$75,0.8),5,IF(G32&gt;=PERCENTILE($G$6:$G$75,0.6),4,IF(G32&gt;=PERCENTILE($G$6:$G$75,0.4),3,IF(G32&gt;=PERCENTILE($G$6:$G$75,0.2),2,1))))</f>
        <v>2</v>
      </c>
      <c r="K32" s="4" t="n">
        <f aca="false">IF(H32&gt;=PERCENTILE($H$6:$H$75,0.8),5,IF(H32&gt;=PERCENTILE($H$6:$H$75,0.6),4,IF(H32&gt;=PERCENTILE($H$6:$H$75,0.4),3,IF(H32&gt;=PERCENTILE($H$6:$H$75,0.2),2,1))))</f>
        <v>2</v>
      </c>
      <c r="L32" s="10" t="str">
        <f aca="false">IF(AND(I32&gt;=4,J32&gt;=4),"Champions",IF(AND(I32&gt;=3,J32&gt;=4),"Loyal Customers",IF(AND(I32&gt;=4,J32&lt;=3),"Potential Loyalist",IF(AND(I32&lt;=2,J32&gt;=3),"At Risk",IF(AND(I32&lt;=2,J32&lt;=2),"Lost","Need Attention")))))</f>
        <v>Need Attention</v>
      </c>
    </row>
    <row r="33" customFormat="false" ht="15" hidden="false" customHeight="false" outlineLevel="0" collapsed="false">
      <c r="A33" s="4" t="s">
        <v>145</v>
      </c>
      <c r="B33" s="4" t="str">
        <f aca="false">IFERROR(INDEX('Transactions Data'!$C$5:$C$281,MATCH(A33,'Transactions Data'!$B$5:$B$281,0)),"")</f>
        <v>Bella Carter</v>
      </c>
      <c r="C33" s="4" t="str">
        <f aca="false">IFERROR(INDEX('Transactions Data'!$D$5:$D$281,MATCH(A33,'Transactions Data'!$B$5:$B$281,0)),"")</f>
        <v>United States</v>
      </c>
      <c r="D33" s="7" t="n">
        <f aca="false">DATE(YEAR(_xlfn.MINIFS('Transactions Data'!$E$5:$E$281,'Transactions Data'!$B$5:$B$281,A33)),MONTH(_xlfn.MINIFS('Transactions Data'!$E$5:$E$281,'Transactions Data'!$B$5:$B$281,A33)),1)</f>
        <v>45505</v>
      </c>
      <c r="E33" s="5" t="n">
        <f aca="false">_xlfn.MAXIFS('Transactions Data'!$E$5:$E$281,'Transactions Data'!$B$5:$B$281,A33)</f>
        <v>45613</v>
      </c>
      <c r="F33" s="4" t="n">
        <f aca="false">$C$3-E33</f>
        <v>45</v>
      </c>
      <c r="G33" s="4" t="n">
        <f aca="false">COUNTIFS('Transactions Data'!$B$5:$B$281,A33)</f>
        <v>7</v>
      </c>
      <c r="H33" s="6" t="n">
        <f aca="false">SUMIFS('Transactions Data'!$F$5:$F$281,'Transactions Data'!$B$5:$B$281,A33)</f>
        <v>1156.36</v>
      </c>
      <c r="I33" s="4" t="n">
        <f aca="false">IF(F33&lt;=PERCENTILE($F$6:$F$75,0.2),5,IF(F33&lt;=PERCENTILE($F$6:$F$75,0.4),4,IF(F33&lt;=PERCENTILE($F$6:$F$75,0.6),3,IF(F33&lt;=PERCENTILE($F$6:$F$75,0.8),2,1))))</f>
        <v>5</v>
      </c>
      <c r="J33" s="4" t="n">
        <f aca="false">IF(G33&gt;=PERCENTILE($G$6:$G$75,0.8),5,IF(G33&gt;=PERCENTILE($G$6:$G$75,0.6),4,IF(G33&gt;=PERCENTILE($G$6:$G$75,0.4),3,IF(G33&gt;=PERCENTILE($G$6:$G$75,0.2),2,1))))</f>
        <v>5</v>
      </c>
      <c r="K33" s="4" t="n">
        <f aca="false">IF(H33&gt;=PERCENTILE($H$6:$H$75,0.8),5,IF(H33&gt;=PERCENTILE($H$6:$H$75,0.6),4,IF(H33&gt;=PERCENTILE($H$6:$H$75,0.4),3,IF(H33&gt;=PERCENTILE($H$6:$H$75,0.2),2,1))))</f>
        <v>5</v>
      </c>
      <c r="L33" s="10" t="str">
        <f aca="false">IF(AND(I33&gt;=4,J33&gt;=4),"Champions",IF(AND(I33&gt;=3,J33&gt;=4),"Loyal Customers",IF(AND(I33&gt;=4,J33&lt;=3),"Potential Loyalist",IF(AND(I33&lt;=2,J33&gt;=3),"At Risk",IF(AND(I33&lt;=2,J33&lt;=2),"Lost","Need Attention")))))</f>
        <v>Champions</v>
      </c>
    </row>
    <row r="34" customFormat="false" ht="15" hidden="false" customHeight="false" outlineLevel="0" collapsed="false">
      <c r="A34" s="4" t="s">
        <v>129</v>
      </c>
      <c r="B34" s="4" t="str">
        <f aca="false">IFERROR(INDEX('Transactions Data'!$C$5:$C$281,MATCH(A34,'Transactions Data'!$B$5:$B$281,0)),"")</f>
        <v>Mason King</v>
      </c>
      <c r="C34" s="4" t="str">
        <f aca="false">IFERROR(INDEX('Transactions Data'!$D$5:$D$281,MATCH(A34,'Transactions Data'!$B$5:$B$281,0)),"")</f>
        <v>Australia</v>
      </c>
      <c r="D34" s="7" t="n">
        <f aca="false">DATE(YEAR(_xlfn.MINIFS('Transactions Data'!$E$5:$E$281,'Transactions Data'!$B$5:$B$281,A34)),MONTH(_xlfn.MINIFS('Transactions Data'!$E$5:$E$281,'Transactions Data'!$B$5:$B$281,A34)),1)</f>
        <v>45474</v>
      </c>
      <c r="E34" s="5" t="n">
        <f aca="false">_xlfn.MAXIFS('Transactions Data'!$E$5:$E$281,'Transactions Data'!$B$5:$B$281,A34)</f>
        <v>45648</v>
      </c>
      <c r="F34" s="4" t="n">
        <f aca="false">$C$3-E34</f>
        <v>10</v>
      </c>
      <c r="G34" s="4" t="n">
        <f aca="false">COUNTIFS('Transactions Data'!$B$5:$B$281,A34)</f>
        <v>7</v>
      </c>
      <c r="H34" s="6" t="n">
        <f aca="false">SUMIFS('Transactions Data'!$F$5:$F$281,'Transactions Data'!$B$5:$B$281,A34)</f>
        <v>884.03</v>
      </c>
      <c r="I34" s="4" t="n">
        <f aca="false">IF(F34&lt;=PERCENTILE($F$6:$F$75,0.2),5,IF(F34&lt;=PERCENTILE($F$6:$F$75,0.4),4,IF(F34&lt;=PERCENTILE($F$6:$F$75,0.6),3,IF(F34&lt;=PERCENTILE($F$6:$F$75,0.8),2,1))))</f>
        <v>5</v>
      </c>
      <c r="J34" s="4" t="n">
        <f aca="false">IF(G34&gt;=PERCENTILE($G$6:$G$75,0.8),5,IF(G34&gt;=PERCENTILE($G$6:$G$75,0.6),4,IF(G34&gt;=PERCENTILE($G$6:$G$75,0.4),3,IF(G34&gt;=PERCENTILE($G$6:$G$75,0.2),2,1))))</f>
        <v>5</v>
      </c>
      <c r="K34" s="4" t="n">
        <f aca="false">IF(H34&gt;=PERCENTILE($H$6:$H$75,0.8),5,IF(H34&gt;=PERCENTILE($H$6:$H$75,0.6),4,IF(H34&gt;=PERCENTILE($H$6:$H$75,0.4),3,IF(H34&gt;=PERCENTILE($H$6:$H$75,0.2),2,1))))</f>
        <v>5</v>
      </c>
      <c r="L34" s="10" t="str">
        <f aca="false">IF(AND(I34&gt;=4,J34&gt;=4),"Champions",IF(AND(I34&gt;=3,J34&gt;=4),"Loyal Customers",IF(AND(I34&gt;=4,J34&lt;=3),"Potential Loyalist",IF(AND(I34&lt;=2,J34&gt;=3),"At Risk",IF(AND(I34&lt;=2,J34&lt;=2),"Lost","Need Attention")))))</f>
        <v>Champions</v>
      </c>
    </row>
    <row r="35" customFormat="false" ht="15" hidden="false" customHeight="false" outlineLevel="0" collapsed="false">
      <c r="A35" s="4" t="s">
        <v>41</v>
      </c>
      <c r="B35" s="4" t="str">
        <f aca="false">IFERROR(INDEX('Transactions Data'!$C$5:$C$281,MATCH(A35,'Transactions Data'!$B$5:$B$281,0)),"")</f>
        <v>Layla Johnson</v>
      </c>
      <c r="C35" s="4" t="str">
        <f aca="false">IFERROR(INDEX('Transactions Data'!$D$5:$D$281,MATCH(A35,'Transactions Data'!$B$5:$B$281,0)),"")</f>
        <v>United Kingdom</v>
      </c>
      <c r="D35" s="7" t="n">
        <f aca="false">DATE(YEAR(_xlfn.MINIFS('Transactions Data'!$E$5:$E$281,'Transactions Data'!$B$5:$B$281,A35)),MONTH(_xlfn.MINIFS('Transactions Data'!$E$5:$E$281,'Transactions Data'!$B$5:$B$281,A35)),1)</f>
        <v>45323</v>
      </c>
      <c r="E35" s="5" t="n">
        <f aca="false">_xlfn.MAXIFS('Transactions Data'!$E$5:$E$281,'Transactions Data'!$B$5:$B$281,A35)</f>
        <v>45362</v>
      </c>
      <c r="F35" s="4" t="n">
        <f aca="false">$C$3-E35</f>
        <v>296</v>
      </c>
      <c r="G35" s="4" t="n">
        <f aca="false">COUNTIFS('Transactions Data'!$B$5:$B$281,A35)</f>
        <v>2</v>
      </c>
      <c r="H35" s="6" t="n">
        <f aca="false">SUMIFS('Transactions Data'!$F$5:$F$281,'Transactions Data'!$B$5:$B$281,A35)</f>
        <v>366.92</v>
      </c>
      <c r="I35" s="4" t="n">
        <f aca="false">IF(F35&lt;=PERCENTILE($F$6:$F$75,0.2),5,IF(F35&lt;=PERCENTILE($F$6:$F$75,0.4),4,IF(F35&lt;=PERCENTILE($F$6:$F$75,0.6),3,IF(F35&lt;=PERCENTILE($F$6:$F$75,0.8),2,1))))</f>
        <v>1</v>
      </c>
      <c r="J35" s="4" t="n">
        <f aca="false">IF(G35&gt;=PERCENTILE($G$6:$G$75,0.8),5,IF(G35&gt;=PERCENTILE($G$6:$G$75,0.6),4,IF(G35&gt;=PERCENTILE($G$6:$G$75,0.4),3,IF(G35&gt;=PERCENTILE($G$6:$G$75,0.2),2,1))))</f>
        <v>3</v>
      </c>
      <c r="K35" s="4" t="n">
        <f aca="false">IF(H35&gt;=PERCENTILE($H$6:$H$75,0.8),5,IF(H35&gt;=PERCENTILE($H$6:$H$75,0.6),4,IF(H35&gt;=PERCENTILE($H$6:$H$75,0.4),3,IF(H35&gt;=PERCENTILE($H$6:$H$75,0.2),2,1))))</f>
        <v>3</v>
      </c>
      <c r="L35" s="10" t="str">
        <f aca="false">IF(AND(I35&gt;=4,J35&gt;=4),"Champions",IF(AND(I35&gt;=3,J35&gt;=4),"Loyal Customers",IF(AND(I35&gt;=4,J35&lt;=3),"Potential Loyalist",IF(AND(I35&lt;=2,J35&gt;=3),"At Risk",IF(AND(I35&lt;=2,J35&lt;=2),"Lost","Need Attention")))))</f>
        <v>At Risk</v>
      </c>
    </row>
    <row r="36" customFormat="false" ht="15" hidden="false" customHeight="false" outlineLevel="0" collapsed="false">
      <c r="A36" s="4" t="s">
        <v>107</v>
      </c>
      <c r="B36" s="4" t="str">
        <f aca="false">IFERROR(INDEX('Transactions Data'!$C$5:$C$281,MATCH(A36,'Transactions Data'!$B$5:$B$281,0)),"")</f>
        <v>Benjamin Wilson</v>
      </c>
      <c r="C36" s="4" t="str">
        <f aca="false">IFERROR(INDEX('Transactions Data'!$D$5:$D$281,MATCH(A36,'Transactions Data'!$B$5:$B$281,0)),"")</f>
        <v>United States</v>
      </c>
      <c r="D36" s="7" t="n">
        <f aca="false">DATE(YEAR(_xlfn.MINIFS('Transactions Data'!$E$5:$E$281,'Transactions Data'!$B$5:$B$281,A36)),MONTH(_xlfn.MINIFS('Transactions Data'!$E$5:$E$281,'Transactions Data'!$B$5:$B$281,A36)),1)</f>
        <v>45444</v>
      </c>
      <c r="E36" s="5" t="n">
        <f aca="false">_xlfn.MAXIFS('Transactions Data'!$E$5:$E$281,'Transactions Data'!$B$5:$B$281,A36)</f>
        <v>45480</v>
      </c>
      <c r="F36" s="4" t="n">
        <f aca="false">$C$3-E36</f>
        <v>178</v>
      </c>
      <c r="G36" s="4" t="n">
        <f aca="false">COUNTIFS('Transactions Data'!$B$5:$B$281,A36)</f>
        <v>2</v>
      </c>
      <c r="H36" s="6" t="n">
        <f aca="false">SUMIFS('Transactions Data'!$F$5:$F$281,'Transactions Data'!$B$5:$B$281,A36)</f>
        <v>245.42</v>
      </c>
      <c r="I36" s="4" t="n">
        <f aca="false">IF(F36&lt;=PERCENTILE($F$6:$F$75,0.2),5,IF(F36&lt;=PERCENTILE($F$6:$F$75,0.4),4,IF(F36&lt;=PERCENTILE($F$6:$F$75,0.6),3,IF(F36&lt;=PERCENTILE($F$6:$F$75,0.8),2,1))))</f>
        <v>3</v>
      </c>
      <c r="J36" s="4" t="n">
        <f aca="false">IF(G36&gt;=PERCENTILE($G$6:$G$75,0.8),5,IF(G36&gt;=PERCENTILE($G$6:$G$75,0.6),4,IF(G36&gt;=PERCENTILE($G$6:$G$75,0.4),3,IF(G36&gt;=PERCENTILE($G$6:$G$75,0.2),2,1))))</f>
        <v>3</v>
      </c>
      <c r="K36" s="4" t="n">
        <f aca="false">IF(H36&gt;=PERCENTILE($H$6:$H$75,0.8),5,IF(H36&gt;=PERCENTILE($H$6:$H$75,0.6),4,IF(H36&gt;=PERCENTILE($H$6:$H$75,0.4),3,IF(H36&gt;=PERCENTILE($H$6:$H$75,0.2),2,1))))</f>
        <v>3</v>
      </c>
      <c r="L36" s="10" t="str">
        <f aca="false">IF(AND(I36&gt;=4,J36&gt;=4),"Champions",IF(AND(I36&gt;=3,J36&gt;=4),"Loyal Customers",IF(AND(I36&gt;=4,J36&lt;=3),"Potential Loyalist",IF(AND(I36&lt;=2,J36&gt;=3),"At Risk",IF(AND(I36&lt;=2,J36&lt;=2),"Lost","Need Attention")))))</f>
        <v>Need Attention</v>
      </c>
    </row>
    <row r="37" customFormat="false" ht="15" hidden="false" customHeight="false" outlineLevel="0" collapsed="false">
      <c r="A37" s="4" t="s">
        <v>65</v>
      </c>
      <c r="B37" s="4" t="str">
        <f aca="false">IFERROR(INDEX('Transactions Data'!$C$5:$C$281,MATCH(A37,'Transactions Data'!$B$5:$B$281,0)),"")</f>
        <v>Mia Smith</v>
      </c>
      <c r="C37" s="4" t="str">
        <f aca="false">IFERROR(INDEX('Transactions Data'!$D$5:$D$281,MATCH(A37,'Transactions Data'!$B$5:$B$281,0)),"")</f>
        <v>Germany</v>
      </c>
      <c r="D37" s="7" t="n">
        <f aca="false">DATE(YEAR(_xlfn.MINIFS('Transactions Data'!$E$5:$E$281,'Transactions Data'!$B$5:$B$281,A37)),MONTH(_xlfn.MINIFS('Transactions Data'!$E$5:$E$281,'Transactions Data'!$B$5:$B$281,A37)),1)</f>
        <v>45352</v>
      </c>
      <c r="E37" s="5" t="n">
        <f aca="false">_xlfn.MAXIFS('Transactions Data'!$E$5:$E$281,'Transactions Data'!$B$5:$B$281,A37)</f>
        <v>45434</v>
      </c>
      <c r="F37" s="4" t="n">
        <f aca="false">$C$3-E37</f>
        <v>224</v>
      </c>
      <c r="G37" s="4" t="n">
        <f aca="false">COUNTIFS('Transactions Data'!$B$5:$B$281,A37)</f>
        <v>3</v>
      </c>
      <c r="H37" s="6" t="n">
        <f aca="false">SUMIFS('Transactions Data'!$F$5:$F$281,'Transactions Data'!$B$5:$B$281,A37)</f>
        <v>277.28</v>
      </c>
      <c r="I37" s="4" t="n">
        <f aca="false">IF(F37&lt;=PERCENTILE($F$6:$F$75,0.2),5,IF(F37&lt;=PERCENTILE($F$6:$F$75,0.4),4,IF(F37&lt;=PERCENTILE($F$6:$F$75,0.6),3,IF(F37&lt;=PERCENTILE($F$6:$F$75,0.8),2,1))))</f>
        <v>2</v>
      </c>
      <c r="J37" s="4" t="n">
        <f aca="false">IF(G37&gt;=PERCENTILE($G$6:$G$75,0.8),5,IF(G37&gt;=PERCENTILE($G$6:$G$75,0.6),4,IF(G37&gt;=PERCENTILE($G$6:$G$75,0.4),3,IF(G37&gt;=PERCENTILE($G$6:$G$75,0.2),2,1))))</f>
        <v>4</v>
      </c>
      <c r="K37" s="4" t="n">
        <f aca="false">IF(H37&gt;=PERCENTILE($H$6:$H$75,0.8),5,IF(H37&gt;=PERCENTILE($H$6:$H$75,0.6),4,IF(H37&gt;=PERCENTILE($H$6:$H$75,0.4),3,IF(H37&gt;=PERCENTILE($H$6:$H$75,0.2),2,1))))</f>
        <v>3</v>
      </c>
      <c r="L37" s="10" t="str">
        <f aca="false">IF(AND(I37&gt;=4,J37&gt;=4),"Champions",IF(AND(I37&gt;=3,J37&gt;=4),"Loyal Customers",IF(AND(I37&gt;=4,J37&lt;=3),"Potential Loyalist",IF(AND(I37&lt;=2,J37&gt;=3),"At Risk",IF(AND(I37&lt;=2,J37&lt;=2),"Lost","Need Attention")))))</f>
        <v>At Risk</v>
      </c>
    </row>
    <row r="38" customFormat="false" ht="15" hidden="false" customHeight="false" outlineLevel="0" collapsed="false">
      <c r="A38" s="4" t="s">
        <v>33</v>
      </c>
      <c r="B38" s="4" t="str">
        <f aca="false">IFERROR(INDEX('Transactions Data'!$C$5:$C$281,MATCH(A38,'Transactions Data'!$B$5:$B$281,0)),"")</f>
        <v>Aiden Carter</v>
      </c>
      <c r="C38" s="4" t="str">
        <f aca="false">IFERROR(INDEX('Transactions Data'!$D$5:$D$281,MATCH(A38,'Transactions Data'!$B$5:$B$281,0)),"")</f>
        <v>United States</v>
      </c>
      <c r="D38" s="7" t="n">
        <f aca="false">DATE(YEAR(_xlfn.MINIFS('Transactions Data'!$E$5:$E$281,'Transactions Data'!$B$5:$B$281,A38)),MONTH(_xlfn.MINIFS('Transactions Data'!$E$5:$E$281,'Transactions Data'!$B$5:$B$281,A38)),1)</f>
        <v>45323</v>
      </c>
      <c r="E38" s="5" t="n">
        <f aca="false">_xlfn.MAXIFS('Transactions Data'!$E$5:$E$281,'Transactions Data'!$B$5:$B$281,A38)</f>
        <v>45353</v>
      </c>
      <c r="F38" s="4" t="n">
        <f aca="false">$C$3-E38</f>
        <v>305</v>
      </c>
      <c r="G38" s="4" t="n">
        <f aca="false">COUNTIFS('Transactions Data'!$B$5:$B$281,A38)</f>
        <v>2</v>
      </c>
      <c r="H38" s="6" t="n">
        <f aca="false">SUMIFS('Transactions Data'!$F$5:$F$281,'Transactions Data'!$B$5:$B$281,A38)</f>
        <v>267.43</v>
      </c>
      <c r="I38" s="4" t="n">
        <f aca="false">IF(F38&lt;=PERCENTILE($F$6:$F$75,0.2),5,IF(F38&lt;=PERCENTILE($F$6:$F$75,0.4),4,IF(F38&lt;=PERCENTILE($F$6:$F$75,0.6),3,IF(F38&lt;=PERCENTILE($F$6:$F$75,0.8),2,1))))</f>
        <v>1</v>
      </c>
      <c r="J38" s="4" t="n">
        <f aca="false">IF(G38&gt;=PERCENTILE($G$6:$G$75,0.8),5,IF(G38&gt;=PERCENTILE($G$6:$G$75,0.6),4,IF(G38&gt;=PERCENTILE($G$6:$G$75,0.4),3,IF(G38&gt;=PERCENTILE($G$6:$G$75,0.2),2,1))))</f>
        <v>3</v>
      </c>
      <c r="K38" s="4" t="n">
        <f aca="false">IF(H38&gt;=PERCENTILE($H$6:$H$75,0.8),5,IF(H38&gt;=PERCENTILE($H$6:$H$75,0.6),4,IF(H38&gt;=PERCENTILE($H$6:$H$75,0.4),3,IF(H38&gt;=PERCENTILE($H$6:$H$75,0.2),2,1))))</f>
        <v>3</v>
      </c>
      <c r="L38" s="10" t="str">
        <f aca="false">IF(AND(I38&gt;=4,J38&gt;=4),"Champions",IF(AND(I38&gt;=3,J38&gt;=4),"Loyal Customers",IF(AND(I38&gt;=4,J38&lt;=3),"Potential Loyalist",IF(AND(I38&lt;=2,J38&gt;=3),"At Risk",IF(AND(I38&lt;=2,J38&lt;=2),"Lost","Need Attention")))))</f>
        <v>At Risk</v>
      </c>
    </row>
    <row r="39" customFormat="false" ht="15" hidden="false" customHeight="false" outlineLevel="0" collapsed="false">
      <c r="A39" s="4" t="s">
        <v>103</v>
      </c>
      <c r="B39" s="4" t="str">
        <f aca="false">IFERROR(INDEX('Transactions Data'!$C$5:$C$281,MATCH(A39,'Transactions Data'!$B$5:$B$281,0)),"")</f>
        <v>Caleb Anderson</v>
      </c>
      <c r="C39" s="4" t="str">
        <f aca="false">IFERROR(INDEX('Transactions Data'!$D$5:$D$281,MATCH(A39,'Transactions Data'!$B$5:$B$281,0)),"")</f>
        <v>Canada</v>
      </c>
      <c r="D39" s="7" t="n">
        <f aca="false">DATE(YEAR(_xlfn.MINIFS('Transactions Data'!$E$5:$E$281,'Transactions Data'!$B$5:$B$281,A39)),MONTH(_xlfn.MINIFS('Transactions Data'!$E$5:$E$281,'Transactions Data'!$B$5:$B$281,A39)),1)</f>
        <v>45444</v>
      </c>
      <c r="E39" s="5" t="n">
        <f aca="false">_xlfn.MAXIFS('Transactions Data'!$E$5:$E$281,'Transactions Data'!$B$5:$B$281,A39)</f>
        <v>45447</v>
      </c>
      <c r="F39" s="4" t="n">
        <f aca="false">$C$3-E39</f>
        <v>211</v>
      </c>
      <c r="G39" s="4" t="n">
        <f aca="false">COUNTIFS('Transactions Data'!$B$5:$B$281,A39)</f>
        <v>1</v>
      </c>
      <c r="H39" s="6" t="n">
        <f aca="false">SUMIFS('Transactions Data'!$F$5:$F$281,'Transactions Data'!$B$5:$B$281,A39)</f>
        <v>219.49</v>
      </c>
      <c r="I39" s="4" t="n">
        <f aca="false">IF(F39&lt;=PERCENTILE($F$6:$F$75,0.2),5,IF(F39&lt;=PERCENTILE($F$6:$F$75,0.4),4,IF(F39&lt;=PERCENTILE($F$6:$F$75,0.6),3,IF(F39&lt;=PERCENTILE($F$6:$F$75,0.8),2,1))))</f>
        <v>3</v>
      </c>
      <c r="J39" s="4" t="n">
        <f aca="false">IF(G39&gt;=PERCENTILE($G$6:$G$75,0.8),5,IF(G39&gt;=PERCENTILE($G$6:$G$75,0.6),4,IF(G39&gt;=PERCENTILE($G$6:$G$75,0.4),3,IF(G39&gt;=PERCENTILE($G$6:$G$75,0.2),2,1))))</f>
        <v>2</v>
      </c>
      <c r="K39" s="4" t="n">
        <f aca="false">IF(H39&gt;=PERCENTILE($H$6:$H$75,0.8),5,IF(H39&gt;=PERCENTILE($H$6:$H$75,0.6),4,IF(H39&gt;=PERCENTILE($H$6:$H$75,0.4),3,IF(H39&gt;=PERCENTILE($H$6:$H$75,0.2),2,1))))</f>
        <v>3</v>
      </c>
      <c r="L39" s="10" t="str">
        <f aca="false">IF(AND(I39&gt;=4,J39&gt;=4),"Champions",IF(AND(I39&gt;=3,J39&gt;=4),"Loyal Customers",IF(AND(I39&gt;=4,J39&lt;=3),"Potential Loyalist",IF(AND(I39&lt;=2,J39&gt;=3),"At Risk",IF(AND(I39&lt;=2,J39&lt;=2),"Lost","Need Attention")))))</f>
        <v>Need Attention</v>
      </c>
    </row>
    <row r="40" customFormat="false" ht="15" hidden="false" customHeight="false" outlineLevel="0" collapsed="false">
      <c r="A40" s="4" t="s">
        <v>153</v>
      </c>
      <c r="B40" s="4" t="str">
        <f aca="false">IFERROR(INDEX('Transactions Data'!$C$5:$C$281,MATCH(A40,'Transactions Data'!$B$5:$B$281,0)),"")</f>
        <v>Jacob Taylor</v>
      </c>
      <c r="C40" s="4" t="str">
        <f aca="false">IFERROR(INDEX('Transactions Data'!$D$5:$D$281,MATCH(A40,'Transactions Data'!$B$5:$B$281,0)),"")</f>
        <v>United States</v>
      </c>
      <c r="D40" s="7" t="n">
        <f aca="false">DATE(YEAR(_xlfn.MINIFS('Transactions Data'!$E$5:$E$281,'Transactions Data'!$B$5:$B$281,A40)),MONTH(_xlfn.MINIFS('Transactions Data'!$E$5:$E$281,'Transactions Data'!$B$5:$B$281,A40)),1)</f>
        <v>45505</v>
      </c>
      <c r="E40" s="5" t="n">
        <f aca="false">_xlfn.MAXIFS('Transactions Data'!$E$5:$E$281,'Transactions Data'!$B$5:$B$281,A40)</f>
        <v>45534</v>
      </c>
      <c r="F40" s="4" t="n">
        <f aca="false">$C$3-E40</f>
        <v>124</v>
      </c>
      <c r="G40" s="4" t="n">
        <f aca="false">COUNTIFS('Transactions Data'!$B$5:$B$281,A40)</f>
        <v>1</v>
      </c>
      <c r="H40" s="6" t="n">
        <f aca="false">SUMIFS('Transactions Data'!$F$5:$F$281,'Transactions Data'!$B$5:$B$281,A40)</f>
        <v>122.58</v>
      </c>
      <c r="I40" s="4" t="n">
        <f aca="false">IF(F40&lt;=PERCENTILE($F$6:$F$75,0.2),5,IF(F40&lt;=PERCENTILE($F$6:$F$75,0.4),4,IF(F40&lt;=PERCENTILE($F$6:$F$75,0.6),3,IF(F40&lt;=PERCENTILE($F$6:$F$75,0.8),2,1))))</f>
        <v>4</v>
      </c>
      <c r="J40" s="4" t="n">
        <f aca="false">IF(G40&gt;=PERCENTILE($G$6:$G$75,0.8),5,IF(G40&gt;=PERCENTILE($G$6:$G$75,0.6),4,IF(G40&gt;=PERCENTILE($G$6:$G$75,0.4),3,IF(G40&gt;=PERCENTILE($G$6:$G$75,0.2),2,1))))</f>
        <v>2</v>
      </c>
      <c r="K40" s="4" t="n">
        <f aca="false">IF(H40&gt;=PERCENTILE($H$6:$H$75,0.8),5,IF(H40&gt;=PERCENTILE($H$6:$H$75,0.6),4,IF(H40&gt;=PERCENTILE($H$6:$H$75,0.4),3,IF(H40&gt;=PERCENTILE($H$6:$H$75,0.2),2,1))))</f>
        <v>2</v>
      </c>
      <c r="L40" s="10" t="str">
        <f aca="false">IF(AND(I40&gt;=4,J40&gt;=4),"Champions",IF(AND(I40&gt;=3,J40&gt;=4),"Loyal Customers",IF(AND(I40&gt;=4,J40&lt;=3),"Potential Loyalist",IF(AND(I40&lt;=2,J40&gt;=3),"At Risk",IF(AND(I40&lt;=2,J40&lt;=2),"Lost","Need Attention")))))</f>
        <v>Potential Loyalist</v>
      </c>
    </row>
    <row r="41" customFormat="false" ht="15" hidden="false" customHeight="false" outlineLevel="0" collapsed="false">
      <c r="A41" s="4" t="s">
        <v>89</v>
      </c>
      <c r="B41" s="4" t="str">
        <f aca="false">IFERROR(INDEX('Transactions Data'!$C$5:$C$281,MATCH(A41,'Transactions Data'!$B$5:$B$281,0)),"")</f>
        <v>Aurora Green</v>
      </c>
      <c r="C41" s="4" t="str">
        <f aca="false">IFERROR(INDEX('Transactions Data'!$D$5:$D$281,MATCH(A41,'Transactions Data'!$B$5:$B$281,0)),"")</f>
        <v>Australia</v>
      </c>
      <c r="D41" s="7" t="n">
        <f aca="false">DATE(YEAR(_xlfn.MINIFS('Transactions Data'!$E$5:$E$281,'Transactions Data'!$B$5:$B$281,A41)),MONTH(_xlfn.MINIFS('Transactions Data'!$E$5:$E$281,'Transactions Data'!$B$5:$B$281,A41)),1)</f>
        <v>45413</v>
      </c>
      <c r="E41" s="5" t="n">
        <f aca="false">_xlfn.MAXIFS('Transactions Data'!$E$5:$E$281,'Transactions Data'!$B$5:$B$281,A41)</f>
        <v>45446</v>
      </c>
      <c r="F41" s="4" t="n">
        <f aca="false">$C$3-E41</f>
        <v>212</v>
      </c>
      <c r="G41" s="4" t="n">
        <f aca="false">COUNTIFS('Transactions Data'!$B$5:$B$281,A41)</f>
        <v>3</v>
      </c>
      <c r="H41" s="6" t="n">
        <f aca="false">SUMIFS('Transactions Data'!$F$5:$F$281,'Transactions Data'!$B$5:$B$281,A41)</f>
        <v>284.4</v>
      </c>
      <c r="I41" s="4" t="n">
        <f aca="false">IF(F41&lt;=PERCENTILE($F$6:$F$75,0.2),5,IF(F41&lt;=PERCENTILE($F$6:$F$75,0.4),4,IF(F41&lt;=PERCENTILE($F$6:$F$75,0.6),3,IF(F41&lt;=PERCENTILE($F$6:$F$75,0.8),2,1))))</f>
        <v>3</v>
      </c>
      <c r="J41" s="4" t="n">
        <f aca="false">IF(G41&gt;=PERCENTILE($G$6:$G$75,0.8),5,IF(G41&gt;=PERCENTILE($G$6:$G$75,0.6),4,IF(G41&gt;=PERCENTILE($G$6:$G$75,0.4),3,IF(G41&gt;=PERCENTILE($G$6:$G$75,0.2),2,1))))</f>
        <v>4</v>
      </c>
      <c r="K41" s="4" t="n">
        <f aca="false">IF(H41&gt;=PERCENTILE($H$6:$H$75,0.8),5,IF(H41&gt;=PERCENTILE($H$6:$H$75,0.6),4,IF(H41&gt;=PERCENTILE($H$6:$H$75,0.4),3,IF(H41&gt;=PERCENTILE($H$6:$H$75,0.2),2,1))))</f>
        <v>3</v>
      </c>
      <c r="L41" s="10" t="str">
        <f aca="false">IF(AND(I41&gt;=4,J41&gt;=4),"Champions",IF(AND(I41&gt;=3,J41&gt;=4),"Loyal Customers",IF(AND(I41&gt;=4,J41&lt;=3),"Potential Loyalist",IF(AND(I41&lt;=2,J41&gt;=3),"At Risk",IF(AND(I41&lt;=2,J41&lt;=2),"Lost","Need Attention")))))</f>
        <v>Loyal Customers</v>
      </c>
    </row>
    <row r="42" customFormat="false" ht="15" hidden="false" customHeight="false" outlineLevel="0" collapsed="false">
      <c r="A42" s="4" t="s">
        <v>141</v>
      </c>
      <c r="B42" s="4" t="str">
        <f aca="false">IFERROR(INDEX('Transactions Data'!$C$5:$C$281,MATCH(A42,'Transactions Data'!$B$5:$B$281,0)),"")</f>
        <v>Mia Hall</v>
      </c>
      <c r="C42" s="4" t="str">
        <f aca="false">IFERROR(INDEX('Transactions Data'!$D$5:$D$281,MATCH(A42,'Transactions Data'!$B$5:$B$281,0)),"")</f>
        <v>Canada</v>
      </c>
      <c r="D42" s="7" t="n">
        <f aca="false">DATE(YEAR(_xlfn.MINIFS('Transactions Data'!$E$5:$E$281,'Transactions Data'!$B$5:$B$281,A42)),MONTH(_xlfn.MINIFS('Transactions Data'!$E$5:$E$281,'Transactions Data'!$B$5:$B$281,A42)),1)</f>
        <v>45505</v>
      </c>
      <c r="E42" s="5" t="n">
        <f aca="false">_xlfn.MAXIFS('Transactions Data'!$E$5:$E$281,'Transactions Data'!$B$5:$B$281,A42)</f>
        <v>45565</v>
      </c>
      <c r="F42" s="4" t="n">
        <f aca="false">$C$3-E42</f>
        <v>93</v>
      </c>
      <c r="G42" s="4" t="n">
        <f aca="false">COUNTIFS('Transactions Data'!$B$5:$B$281,A42)</f>
        <v>5</v>
      </c>
      <c r="H42" s="6" t="n">
        <f aca="false">SUMIFS('Transactions Data'!$F$5:$F$281,'Transactions Data'!$B$5:$B$281,A42)</f>
        <v>654.07</v>
      </c>
      <c r="I42" s="4" t="n">
        <f aca="false">IF(F42&lt;=PERCENTILE($F$6:$F$75,0.2),5,IF(F42&lt;=PERCENTILE($F$6:$F$75,0.4),4,IF(F42&lt;=PERCENTILE($F$6:$F$75,0.6),3,IF(F42&lt;=PERCENTILE($F$6:$F$75,0.8),2,1))))</f>
        <v>4</v>
      </c>
      <c r="J42" s="4" t="n">
        <f aca="false">IF(G42&gt;=PERCENTILE($G$6:$G$75,0.8),5,IF(G42&gt;=PERCENTILE($G$6:$G$75,0.6),4,IF(G42&gt;=PERCENTILE($G$6:$G$75,0.4),3,IF(G42&gt;=PERCENTILE($G$6:$G$75,0.2),2,1))))</f>
        <v>4</v>
      </c>
      <c r="K42" s="4" t="n">
        <f aca="false">IF(H42&gt;=PERCENTILE($H$6:$H$75,0.8),5,IF(H42&gt;=PERCENTILE($H$6:$H$75,0.6),4,IF(H42&gt;=PERCENTILE($H$6:$H$75,0.4),3,IF(H42&gt;=PERCENTILE($H$6:$H$75,0.2),2,1))))</f>
        <v>4</v>
      </c>
      <c r="L42" s="10" t="str">
        <f aca="false">IF(AND(I42&gt;=4,J42&gt;=4),"Champions",IF(AND(I42&gt;=3,J42&gt;=4),"Loyal Customers",IF(AND(I42&gt;=4,J42&lt;=3),"Potential Loyalist",IF(AND(I42&lt;=2,J42&gt;=3),"At Risk",IF(AND(I42&lt;=2,J42&lt;=2),"Lost","Need Attention")))))</f>
        <v>Champions</v>
      </c>
    </row>
    <row r="43" customFormat="false" ht="15" hidden="false" customHeight="false" outlineLevel="0" collapsed="false">
      <c r="A43" s="4" t="s">
        <v>79</v>
      </c>
      <c r="B43" s="4" t="str">
        <f aca="false">IFERROR(INDEX('Transactions Data'!$C$5:$C$281,MATCH(A43,'Transactions Data'!$B$5:$B$281,0)),"")</f>
        <v>Peter Baker</v>
      </c>
      <c r="C43" s="4" t="str">
        <f aca="false">IFERROR(INDEX('Transactions Data'!$D$5:$D$281,MATCH(A43,'Transactions Data'!$B$5:$B$281,0)),"")</f>
        <v>United States</v>
      </c>
      <c r="D43" s="7" t="n">
        <f aca="false">DATE(YEAR(_xlfn.MINIFS('Transactions Data'!$E$5:$E$281,'Transactions Data'!$B$5:$B$281,A43)),MONTH(_xlfn.MINIFS('Transactions Data'!$E$5:$E$281,'Transactions Data'!$B$5:$B$281,A43)),1)</f>
        <v>45383</v>
      </c>
      <c r="E43" s="5" t="n">
        <f aca="false">_xlfn.MAXIFS('Transactions Data'!$E$5:$E$281,'Transactions Data'!$B$5:$B$281,A43)</f>
        <v>45403</v>
      </c>
      <c r="F43" s="4" t="n">
        <f aca="false">$C$3-E43</f>
        <v>255</v>
      </c>
      <c r="G43" s="4" t="n">
        <f aca="false">COUNTIFS('Transactions Data'!$B$5:$B$281,A43)</f>
        <v>1</v>
      </c>
      <c r="H43" s="6" t="n">
        <f aca="false">SUMIFS('Transactions Data'!$F$5:$F$281,'Transactions Data'!$B$5:$B$281,A43)</f>
        <v>99.21</v>
      </c>
      <c r="I43" s="4" t="n">
        <f aca="false">IF(F43&lt;=PERCENTILE($F$6:$F$75,0.2),5,IF(F43&lt;=PERCENTILE($F$6:$F$75,0.4),4,IF(F43&lt;=PERCENTILE($F$6:$F$75,0.6),3,IF(F43&lt;=PERCENTILE($F$6:$F$75,0.8),2,1))))</f>
        <v>2</v>
      </c>
      <c r="J43" s="4" t="n">
        <f aca="false">IF(G43&gt;=PERCENTILE($G$6:$G$75,0.8),5,IF(G43&gt;=PERCENTILE($G$6:$G$75,0.6),4,IF(G43&gt;=PERCENTILE($G$6:$G$75,0.4),3,IF(G43&gt;=PERCENTILE($G$6:$G$75,0.2),2,1))))</f>
        <v>2</v>
      </c>
      <c r="K43" s="4" t="n">
        <f aca="false">IF(H43&gt;=PERCENTILE($H$6:$H$75,0.8),5,IF(H43&gt;=PERCENTILE($H$6:$H$75,0.6),4,IF(H43&gt;=PERCENTILE($H$6:$H$75,0.4),3,IF(H43&gt;=PERCENTILE($H$6:$H$75,0.2),2,1))))</f>
        <v>1</v>
      </c>
      <c r="L43" s="10" t="str">
        <f aca="false">IF(AND(I43&gt;=4,J43&gt;=4),"Champions",IF(AND(I43&gt;=3,J43&gt;=4),"Loyal Customers",IF(AND(I43&gt;=4,J43&lt;=3),"Potential Loyalist",IF(AND(I43&lt;=2,J43&gt;=3),"At Risk",IF(AND(I43&lt;=2,J43&lt;=2),"Lost","Need Attention")))))</f>
        <v>Lost</v>
      </c>
    </row>
    <row r="44" customFormat="false" ht="15" hidden="false" customHeight="false" outlineLevel="0" collapsed="false">
      <c r="A44" s="4" t="s">
        <v>16</v>
      </c>
      <c r="B44" s="4" t="str">
        <f aca="false">IFERROR(INDEX('Transactions Data'!$C$5:$C$281,MATCH(A44,'Transactions Data'!$B$5:$B$281,0)),"")</f>
        <v>Claire Young</v>
      </c>
      <c r="C44" s="4" t="str">
        <f aca="false">IFERROR(INDEX('Transactions Data'!$D$5:$D$281,MATCH(A44,'Transactions Data'!$B$5:$B$281,0)),"")</f>
        <v>United Kingdom</v>
      </c>
      <c r="D44" s="7" t="n">
        <f aca="false">DATE(YEAR(_xlfn.MINIFS('Transactions Data'!$E$5:$E$281,'Transactions Data'!$B$5:$B$281,A44)),MONTH(_xlfn.MINIFS('Transactions Data'!$E$5:$E$281,'Transactions Data'!$B$5:$B$281,A44)),1)</f>
        <v>45292</v>
      </c>
      <c r="E44" s="5" t="n">
        <f aca="false">_xlfn.MAXIFS('Transactions Data'!$E$5:$E$281,'Transactions Data'!$B$5:$B$281,A44)</f>
        <v>45293</v>
      </c>
      <c r="F44" s="4" t="n">
        <f aca="false">$C$3-E44</f>
        <v>365</v>
      </c>
      <c r="G44" s="4" t="n">
        <f aca="false">COUNTIFS('Transactions Data'!$B$5:$B$281,A44)</f>
        <v>1</v>
      </c>
      <c r="H44" s="6" t="n">
        <f aca="false">SUMIFS('Transactions Data'!$F$5:$F$281,'Transactions Data'!$B$5:$B$281,A44)</f>
        <v>110.13</v>
      </c>
      <c r="I44" s="4" t="n">
        <f aca="false">IF(F44&lt;=PERCENTILE($F$6:$F$75,0.2),5,IF(F44&lt;=PERCENTILE($F$6:$F$75,0.4),4,IF(F44&lt;=PERCENTILE($F$6:$F$75,0.6),3,IF(F44&lt;=PERCENTILE($F$6:$F$75,0.8),2,1))))</f>
        <v>1</v>
      </c>
      <c r="J44" s="4" t="n">
        <f aca="false">IF(G44&gt;=PERCENTILE($G$6:$G$75,0.8),5,IF(G44&gt;=PERCENTILE($G$6:$G$75,0.6),4,IF(G44&gt;=PERCENTILE($G$6:$G$75,0.4),3,IF(G44&gt;=PERCENTILE($G$6:$G$75,0.2),2,1))))</f>
        <v>2</v>
      </c>
      <c r="K44" s="4" t="n">
        <f aca="false">IF(H44&gt;=PERCENTILE($H$6:$H$75,0.8),5,IF(H44&gt;=PERCENTILE($H$6:$H$75,0.6),4,IF(H44&gt;=PERCENTILE($H$6:$H$75,0.4),3,IF(H44&gt;=PERCENTILE($H$6:$H$75,0.2),2,1))))</f>
        <v>1</v>
      </c>
      <c r="L44" s="10" t="str">
        <f aca="false">IF(AND(I44&gt;=4,J44&gt;=4),"Champions",IF(AND(I44&gt;=3,J44&gt;=4),"Loyal Customers",IF(AND(I44&gt;=4,J44&lt;=3),"Potential Loyalist",IF(AND(I44&lt;=2,J44&gt;=3),"At Risk",IF(AND(I44&lt;=2,J44&lt;=2),"Lost","Need Attention")))))</f>
        <v>Lost</v>
      </c>
    </row>
    <row r="45" customFormat="false" ht="15" hidden="false" customHeight="false" outlineLevel="0" collapsed="false">
      <c r="A45" s="4" t="s">
        <v>99</v>
      </c>
      <c r="B45" s="4" t="str">
        <f aca="false">IFERROR(INDEX('Transactions Data'!$C$5:$C$281,MATCH(A45,'Transactions Data'!$B$5:$B$281,0)),"")</f>
        <v>Owen Brown</v>
      </c>
      <c r="C45" s="4" t="str">
        <f aca="false">IFERROR(INDEX('Transactions Data'!$D$5:$D$281,MATCH(A45,'Transactions Data'!$B$5:$B$281,0)),"")</f>
        <v>Canada</v>
      </c>
      <c r="D45" s="7" t="n">
        <f aca="false">DATE(YEAR(_xlfn.MINIFS('Transactions Data'!$E$5:$E$281,'Transactions Data'!$B$5:$B$281,A45)),MONTH(_xlfn.MINIFS('Transactions Data'!$E$5:$E$281,'Transactions Data'!$B$5:$B$281,A45)),1)</f>
        <v>45444</v>
      </c>
      <c r="E45" s="5" t="n">
        <f aca="false">_xlfn.MAXIFS('Transactions Data'!$E$5:$E$281,'Transactions Data'!$B$5:$B$281,A45)</f>
        <v>45446</v>
      </c>
      <c r="F45" s="4" t="n">
        <f aca="false">$C$3-E45</f>
        <v>212</v>
      </c>
      <c r="G45" s="4" t="n">
        <f aca="false">COUNTIFS('Transactions Data'!$B$5:$B$281,A45)</f>
        <v>1</v>
      </c>
      <c r="H45" s="6" t="n">
        <f aca="false">SUMIFS('Transactions Data'!$F$5:$F$281,'Transactions Data'!$B$5:$B$281,A45)</f>
        <v>199.2</v>
      </c>
      <c r="I45" s="4" t="n">
        <f aca="false">IF(F45&lt;=PERCENTILE($F$6:$F$75,0.2),5,IF(F45&lt;=PERCENTILE($F$6:$F$75,0.4),4,IF(F45&lt;=PERCENTILE($F$6:$F$75,0.6),3,IF(F45&lt;=PERCENTILE($F$6:$F$75,0.8),2,1))))</f>
        <v>3</v>
      </c>
      <c r="J45" s="4" t="n">
        <f aca="false">IF(G45&gt;=PERCENTILE($G$6:$G$75,0.8),5,IF(G45&gt;=PERCENTILE($G$6:$G$75,0.6),4,IF(G45&gt;=PERCENTILE($G$6:$G$75,0.4),3,IF(G45&gt;=PERCENTILE($G$6:$G$75,0.2),2,1))))</f>
        <v>2</v>
      </c>
      <c r="K45" s="4" t="n">
        <f aca="false">IF(H45&gt;=PERCENTILE($H$6:$H$75,0.8),5,IF(H45&gt;=PERCENTILE($H$6:$H$75,0.6),4,IF(H45&gt;=PERCENTILE($H$6:$H$75,0.4),3,IF(H45&gt;=PERCENTILE($H$6:$H$75,0.2),2,1))))</f>
        <v>2</v>
      </c>
      <c r="L45" s="10" t="str">
        <f aca="false">IF(AND(I45&gt;=4,J45&gt;=4),"Champions",IF(AND(I45&gt;=3,J45&gt;=4),"Loyal Customers",IF(AND(I45&gt;=4,J45&lt;=3),"Potential Loyalist",IF(AND(I45&lt;=2,J45&gt;=3),"At Risk",IF(AND(I45&lt;=2,J45&lt;=2),"Lost","Need Attention")))))</f>
        <v>Need Attention</v>
      </c>
    </row>
    <row r="46" customFormat="false" ht="15" hidden="false" customHeight="false" outlineLevel="0" collapsed="false">
      <c r="A46" s="4" t="s">
        <v>109</v>
      </c>
      <c r="B46" s="4" t="str">
        <f aca="false">IFERROR(INDEX('Transactions Data'!$C$5:$C$281,MATCH(A46,'Transactions Data'!$B$5:$B$281,0)),"")</f>
        <v>Willow Clark</v>
      </c>
      <c r="C46" s="4" t="str">
        <f aca="false">IFERROR(INDEX('Transactions Data'!$D$5:$D$281,MATCH(A46,'Transactions Data'!$B$5:$B$281,0)),"")</f>
        <v>Germany</v>
      </c>
      <c r="D46" s="7" t="n">
        <f aca="false">DATE(YEAR(_xlfn.MINIFS('Transactions Data'!$E$5:$E$281,'Transactions Data'!$B$5:$B$281,A46)),MONTH(_xlfn.MINIFS('Transactions Data'!$E$5:$E$281,'Transactions Data'!$B$5:$B$281,A46)),1)</f>
        <v>45444</v>
      </c>
      <c r="E46" s="5" t="n">
        <f aca="false">_xlfn.MAXIFS('Transactions Data'!$E$5:$E$281,'Transactions Data'!$B$5:$B$281,A46)</f>
        <v>45535</v>
      </c>
      <c r="F46" s="4" t="n">
        <f aca="false">$C$3-E46</f>
        <v>123</v>
      </c>
      <c r="G46" s="4" t="n">
        <f aca="false">COUNTIFS('Transactions Data'!$B$5:$B$281,A46)</f>
        <v>7</v>
      </c>
      <c r="H46" s="6" t="n">
        <f aca="false">SUMIFS('Transactions Data'!$F$5:$F$281,'Transactions Data'!$B$5:$B$281,A46)</f>
        <v>1025.11</v>
      </c>
      <c r="I46" s="4" t="n">
        <f aca="false">IF(F46&lt;=PERCENTILE($F$6:$F$75,0.2),5,IF(F46&lt;=PERCENTILE($F$6:$F$75,0.4),4,IF(F46&lt;=PERCENTILE($F$6:$F$75,0.6),3,IF(F46&lt;=PERCENTILE($F$6:$F$75,0.8),2,1))))</f>
        <v>4</v>
      </c>
      <c r="J46" s="4" t="n">
        <f aca="false">IF(G46&gt;=PERCENTILE($G$6:$G$75,0.8),5,IF(G46&gt;=PERCENTILE($G$6:$G$75,0.6),4,IF(G46&gt;=PERCENTILE($G$6:$G$75,0.4),3,IF(G46&gt;=PERCENTILE($G$6:$G$75,0.2),2,1))))</f>
        <v>5</v>
      </c>
      <c r="K46" s="4" t="n">
        <f aca="false">IF(H46&gt;=PERCENTILE($H$6:$H$75,0.8),5,IF(H46&gt;=PERCENTILE($H$6:$H$75,0.6),4,IF(H46&gt;=PERCENTILE($H$6:$H$75,0.4),3,IF(H46&gt;=PERCENTILE($H$6:$H$75,0.2),2,1))))</f>
        <v>5</v>
      </c>
      <c r="L46" s="10" t="str">
        <f aca="false">IF(AND(I46&gt;=4,J46&gt;=4),"Champions",IF(AND(I46&gt;=3,J46&gt;=4),"Loyal Customers",IF(AND(I46&gt;=4,J46&lt;=3),"Potential Loyalist",IF(AND(I46&lt;=2,J46&gt;=3),"At Risk",IF(AND(I46&lt;=2,J46&lt;=2),"Lost","Need Attention")))))</f>
        <v>Champions</v>
      </c>
    </row>
    <row r="47" customFormat="false" ht="15" hidden="false" customHeight="false" outlineLevel="0" collapsed="false">
      <c r="A47" s="4" t="s">
        <v>69</v>
      </c>
      <c r="B47" s="4" t="str">
        <f aca="false">IFERROR(INDEX('Transactions Data'!$C$5:$C$281,MATCH(A47,'Transactions Data'!$B$5:$B$281,0)),"")</f>
        <v>Jack Clark</v>
      </c>
      <c r="C47" s="4" t="str">
        <f aca="false">IFERROR(INDEX('Transactions Data'!$D$5:$D$281,MATCH(A47,'Transactions Data'!$B$5:$B$281,0)),"")</f>
        <v>Australia</v>
      </c>
      <c r="D47" s="7" t="n">
        <f aca="false">DATE(YEAR(_xlfn.MINIFS('Transactions Data'!$E$5:$E$281,'Transactions Data'!$B$5:$B$281,A47)),MONTH(_xlfn.MINIFS('Transactions Data'!$E$5:$E$281,'Transactions Data'!$B$5:$B$281,A47)),1)</f>
        <v>45383</v>
      </c>
      <c r="E47" s="5" t="n">
        <f aca="false">_xlfn.MAXIFS('Transactions Data'!$E$5:$E$281,'Transactions Data'!$B$5:$B$281,A47)</f>
        <v>45569</v>
      </c>
      <c r="F47" s="4" t="n">
        <f aca="false">$C$3-E47</f>
        <v>89</v>
      </c>
      <c r="G47" s="4" t="n">
        <f aca="false">COUNTIFS('Transactions Data'!$B$5:$B$281,A47)</f>
        <v>10</v>
      </c>
      <c r="H47" s="6" t="n">
        <f aca="false">SUMIFS('Transactions Data'!$F$5:$F$281,'Transactions Data'!$B$5:$B$281,A47)</f>
        <v>1188.99</v>
      </c>
      <c r="I47" s="4" t="n">
        <f aca="false">IF(F47&lt;=PERCENTILE($F$6:$F$75,0.2),5,IF(F47&lt;=PERCENTILE($F$6:$F$75,0.4),4,IF(F47&lt;=PERCENTILE($F$6:$F$75,0.6),3,IF(F47&lt;=PERCENTILE($F$6:$F$75,0.8),2,1))))</f>
        <v>5</v>
      </c>
      <c r="J47" s="4" t="n">
        <f aca="false">IF(G47&gt;=PERCENTILE($G$6:$G$75,0.8),5,IF(G47&gt;=PERCENTILE($G$6:$G$75,0.6),4,IF(G47&gt;=PERCENTILE($G$6:$G$75,0.4),3,IF(G47&gt;=PERCENTILE($G$6:$G$75,0.2),2,1))))</f>
        <v>5</v>
      </c>
      <c r="K47" s="4" t="n">
        <f aca="false">IF(H47&gt;=PERCENTILE($H$6:$H$75,0.8),5,IF(H47&gt;=PERCENTILE($H$6:$H$75,0.6),4,IF(H47&gt;=PERCENTILE($H$6:$H$75,0.4),3,IF(H47&gt;=PERCENTILE($H$6:$H$75,0.2),2,1))))</f>
        <v>5</v>
      </c>
      <c r="L47" s="10" t="str">
        <f aca="false">IF(AND(I47&gt;=4,J47&gt;=4),"Champions",IF(AND(I47&gt;=3,J47&gt;=4),"Loyal Customers",IF(AND(I47&gt;=4,J47&lt;=3),"Potential Loyalist",IF(AND(I47&lt;=2,J47&gt;=3),"At Risk",IF(AND(I47&lt;=2,J47&lt;=2),"Lost","Need Attention")))))</f>
        <v>Champions</v>
      </c>
    </row>
    <row r="48" customFormat="false" ht="15" hidden="false" customHeight="false" outlineLevel="0" collapsed="false">
      <c r="A48" s="4" t="s">
        <v>22</v>
      </c>
      <c r="B48" s="4" t="str">
        <f aca="false">IFERROR(INDEX('Transactions Data'!$C$5:$C$281,MATCH(A48,'Transactions Data'!$B$5:$B$281,0)),"")</f>
        <v>Brooklyn Young</v>
      </c>
      <c r="C48" s="4" t="str">
        <f aca="false">IFERROR(INDEX('Transactions Data'!$D$5:$D$281,MATCH(A48,'Transactions Data'!$B$5:$B$281,0)),"")</f>
        <v>United States</v>
      </c>
      <c r="D48" s="7" t="n">
        <f aca="false">DATE(YEAR(_xlfn.MINIFS('Transactions Data'!$E$5:$E$281,'Transactions Data'!$B$5:$B$281,A48)),MONTH(_xlfn.MINIFS('Transactions Data'!$E$5:$E$281,'Transactions Data'!$B$5:$B$281,A48)),1)</f>
        <v>45292</v>
      </c>
      <c r="E48" s="5" t="n">
        <f aca="false">_xlfn.MAXIFS('Transactions Data'!$E$5:$E$281,'Transactions Data'!$B$5:$B$281,A48)</f>
        <v>45296</v>
      </c>
      <c r="F48" s="4" t="n">
        <f aca="false">$C$3-E48</f>
        <v>362</v>
      </c>
      <c r="G48" s="4" t="n">
        <f aca="false">COUNTIFS('Transactions Data'!$B$5:$B$281,A48)</f>
        <v>1</v>
      </c>
      <c r="H48" s="6" t="n">
        <f aca="false">SUMIFS('Transactions Data'!$F$5:$F$281,'Transactions Data'!$B$5:$B$281,A48)</f>
        <v>100.45</v>
      </c>
      <c r="I48" s="4" t="n">
        <f aca="false">IF(F48&lt;=PERCENTILE($F$6:$F$75,0.2),5,IF(F48&lt;=PERCENTILE($F$6:$F$75,0.4),4,IF(F48&lt;=PERCENTILE($F$6:$F$75,0.6),3,IF(F48&lt;=PERCENTILE($F$6:$F$75,0.8),2,1))))</f>
        <v>1</v>
      </c>
      <c r="J48" s="4" t="n">
        <f aca="false">IF(G48&gt;=PERCENTILE($G$6:$G$75,0.8),5,IF(G48&gt;=PERCENTILE($G$6:$G$75,0.6),4,IF(G48&gt;=PERCENTILE($G$6:$G$75,0.4),3,IF(G48&gt;=PERCENTILE($G$6:$G$75,0.2),2,1))))</f>
        <v>2</v>
      </c>
      <c r="K48" s="4" t="n">
        <f aca="false">IF(H48&gt;=PERCENTILE($H$6:$H$75,0.8),5,IF(H48&gt;=PERCENTILE($H$6:$H$75,0.6),4,IF(H48&gt;=PERCENTILE($H$6:$H$75,0.4),3,IF(H48&gt;=PERCENTILE($H$6:$H$75,0.2),2,1))))</f>
        <v>1</v>
      </c>
      <c r="L48" s="10" t="str">
        <f aca="false">IF(AND(I48&gt;=4,J48&gt;=4),"Champions",IF(AND(I48&gt;=3,J48&gt;=4),"Loyal Customers",IF(AND(I48&gt;=4,J48&lt;=3),"Potential Loyalist",IF(AND(I48&lt;=2,J48&gt;=3),"At Risk",IF(AND(I48&lt;=2,J48&lt;=2),"Lost","Need Attention")))))</f>
        <v>Lost</v>
      </c>
    </row>
    <row r="49" customFormat="false" ht="15" hidden="false" customHeight="false" outlineLevel="0" collapsed="false">
      <c r="A49" s="4" t="s">
        <v>117</v>
      </c>
      <c r="B49" s="4" t="str">
        <f aca="false">IFERROR(INDEX('Transactions Data'!$C$5:$C$281,MATCH(A49,'Transactions Data'!$B$5:$B$281,0)),"")</f>
        <v>Jacob Lewis</v>
      </c>
      <c r="C49" s="4" t="str">
        <f aca="false">IFERROR(INDEX('Transactions Data'!$D$5:$D$281,MATCH(A49,'Transactions Data'!$B$5:$B$281,0)),"")</f>
        <v>United Kingdom</v>
      </c>
      <c r="D49" s="7" t="n">
        <f aca="false">DATE(YEAR(_xlfn.MINIFS('Transactions Data'!$E$5:$E$281,'Transactions Data'!$B$5:$B$281,A49)),MONTH(_xlfn.MINIFS('Transactions Data'!$E$5:$E$281,'Transactions Data'!$B$5:$B$281,A49)),1)</f>
        <v>45444</v>
      </c>
      <c r="E49" s="5" t="n">
        <f aca="false">_xlfn.MAXIFS('Transactions Data'!$E$5:$E$281,'Transactions Data'!$B$5:$B$281,A49)</f>
        <v>45471</v>
      </c>
      <c r="F49" s="4" t="n">
        <f aca="false">$C$3-E49</f>
        <v>187</v>
      </c>
      <c r="G49" s="4" t="n">
        <f aca="false">COUNTIFS('Transactions Data'!$B$5:$B$281,A49)</f>
        <v>2</v>
      </c>
      <c r="H49" s="6" t="n">
        <f aca="false">SUMIFS('Transactions Data'!$F$5:$F$281,'Transactions Data'!$B$5:$B$281,A49)</f>
        <v>213.48</v>
      </c>
      <c r="I49" s="4" t="n">
        <f aca="false">IF(F49&lt;=PERCENTILE($F$6:$F$75,0.2),5,IF(F49&lt;=PERCENTILE($F$6:$F$75,0.4),4,IF(F49&lt;=PERCENTILE($F$6:$F$75,0.6),3,IF(F49&lt;=PERCENTILE($F$6:$F$75,0.8),2,1))))</f>
        <v>3</v>
      </c>
      <c r="J49" s="4" t="n">
        <f aca="false">IF(G49&gt;=PERCENTILE($G$6:$G$75,0.8),5,IF(G49&gt;=PERCENTILE($G$6:$G$75,0.6),4,IF(G49&gt;=PERCENTILE($G$6:$G$75,0.4),3,IF(G49&gt;=PERCENTILE($G$6:$G$75,0.2),2,1))))</f>
        <v>3</v>
      </c>
      <c r="K49" s="4" t="n">
        <f aca="false">IF(H49&gt;=PERCENTILE($H$6:$H$75,0.8),5,IF(H49&gt;=PERCENTILE($H$6:$H$75,0.6),4,IF(H49&gt;=PERCENTILE($H$6:$H$75,0.4),3,IF(H49&gt;=PERCENTILE($H$6:$H$75,0.2),2,1))))</f>
        <v>2</v>
      </c>
      <c r="L49" s="10" t="str">
        <f aca="false">IF(AND(I49&gt;=4,J49&gt;=4),"Champions",IF(AND(I49&gt;=3,J49&gt;=4),"Loyal Customers",IF(AND(I49&gt;=4,J49&lt;=3),"Potential Loyalist",IF(AND(I49&lt;=2,J49&gt;=3),"At Risk",IF(AND(I49&lt;=2,J49&lt;=2),"Lost","Need Attention")))))</f>
        <v>Need Attention</v>
      </c>
    </row>
    <row r="50" customFormat="false" ht="15" hidden="false" customHeight="false" outlineLevel="0" collapsed="false">
      <c r="A50" s="4" t="s">
        <v>71</v>
      </c>
      <c r="B50" s="4" t="str">
        <f aca="false">IFERROR(INDEX('Transactions Data'!$C$5:$C$281,MATCH(A50,'Transactions Data'!$B$5:$B$281,0)),"")</f>
        <v>Oscar Young</v>
      </c>
      <c r="C50" s="4" t="str">
        <f aca="false">IFERROR(INDEX('Transactions Data'!$D$5:$D$281,MATCH(A50,'Transactions Data'!$B$5:$B$281,0)),"")</f>
        <v>United States</v>
      </c>
      <c r="D50" s="7" t="n">
        <f aca="false">DATE(YEAR(_xlfn.MINIFS('Transactions Data'!$E$5:$E$281,'Transactions Data'!$B$5:$B$281,A50)),MONTH(_xlfn.MINIFS('Transactions Data'!$E$5:$E$281,'Transactions Data'!$B$5:$B$281,A50)),1)</f>
        <v>45383</v>
      </c>
      <c r="E50" s="5" t="n">
        <f aca="false">_xlfn.MAXIFS('Transactions Data'!$E$5:$E$281,'Transactions Data'!$B$5:$B$281,A50)</f>
        <v>45462</v>
      </c>
      <c r="F50" s="4" t="n">
        <f aca="false">$C$3-E50</f>
        <v>196</v>
      </c>
      <c r="G50" s="4" t="n">
        <f aca="false">COUNTIFS('Transactions Data'!$B$5:$B$281,A50)</f>
        <v>4</v>
      </c>
      <c r="H50" s="6" t="n">
        <f aca="false">SUMIFS('Transactions Data'!$F$5:$F$281,'Transactions Data'!$B$5:$B$281,A50)</f>
        <v>282.15</v>
      </c>
      <c r="I50" s="4" t="n">
        <f aca="false">IF(F50&lt;=PERCENTILE($F$6:$F$75,0.2),5,IF(F50&lt;=PERCENTILE($F$6:$F$75,0.4),4,IF(F50&lt;=PERCENTILE($F$6:$F$75,0.6),3,IF(F50&lt;=PERCENTILE($F$6:$F$75,0.8),2,1))))</f>
        <v>3</v>
      </c>
      <c r="J50" s="4" t="n">
        <f aca="false">IF(G50&gt;=PERCENTILE($G$6:$G$75,0.8),5,IF(G50&gt;=PERCENTILE($G$6:$G$75,0.6),4,IF(G50&gt;=PERCENTILE($G$6:$G$75,0.4),3,IF(G50&gt;=PERCENTILE($G$6:$G$75,0.2),2,1))))</f>
        <v>4</v>
      </c>
      <c r="K50" s="4" t="n">
        <f aca="false">IF(H50&gt;=PERCENTILE($H$6:$H$75,0.8),5,IF(H50&gt;=PERCENTILE($H$6:$H$75,0.6),4,IF(H50&gt;=PERCENTILE($H$6:$H$75,0.4),3,IF(H50&gt;=PERCENTILE($H$6:$H$75,0.2),2,1))))</f>
        <v>3</v>
      </c>
      <c r="L50" s="10" t="str">
        <f aca="false">IF(AND(I50&gt;=4,J50&gt;=4),"Champions",IF(AND(I50&gt;=3,J50&gt;=4),"Loyal Customers",IF(AND(I50&gt;=4,J50&lt;=3),"Potential Loyalist",IF(AND(I50&lt;=2,J50&gt;=3),"At Risk",IF(AND(I50&lt;=2,J50&lt;=2),"Lost","Need Attention")))))</f>
        <v>Loyal Customers</v>
      </c>
    </row>
    <row r="51" customFormat="false" ht="15" hidden="false" customHeight="false" outlineLevel="0" collapsed="false">
      <c r="A51" s="4" t="s">
        <v>81</v>
      </c>
      <c r="B51" s="4" t="str">
        <f aca="false">IFERROR(INDEX('Transactions Data'!$C$5:$C$281,MATCH(A51,'Transactions Data'!$B$5:$B$281,0)),"")</f>
        <v>Jacob Moore</v>
      </c>
      <c r="C51" s="4" t="str">
        <f aca="false">IFERROR(INDEX('Transactions Data'!$D$5:$D$281,MATCH(A51,'Transactions Data'!$B$5:$B$281,0)),"")</f>
        <v>Canada</v>
      </c>
      <c r="D51" s="7" t="n">
        <f aca="false">DATE(YEAR(_xlfn.MINIFS('Transactions Data'!$E$5:$E$281,'Transactions Data'!$B$5:$B$281,A51)),MONTH(_xlfn.MINIFS('Transactions Data'!$E$5:$E$281,'Transactions Data'!$B$5:$B$281,A51)),1)</f>
        <v>45383</v>
      </c>
      <c r="E51" s="5" t="n">
        <f aca="false">_xlfn.MAXIFS('Transactions Data'!$E$5:$E$281,'Transactions Data'!$B$5:$B$281,A51)</f>
        <v>45413</v>
      </c>
      <c r="F51" s="4" t="n">
        <f aca="false">$C$3-E51</f>
        <v>245</v>
      </c>
      <c r="G51" s="4" t="n">
        <f aca="false">COUNTIFS('Transactions Data'!$B$5:$B$281,A51)</f>
        <v>2</v>
      </c>
      <c r="H51" s="6" t="n">
        <f aca="false">SUMIFS('Transactions Data'!$F$5:$F$281,'Transactions Data'!$B$5:$B$281,A51)</f>
        <v>147.94</v>
      </c>
      <c r="I51" s="4" t="n">
        <f aca="false">IF(F51&lt;=PERCENTILE($F$6:$F$75,0.2),5,IF(F51&lt;=PERCENTILE($F$6:$F$75,0.4),4,IF(F51&lt;=PERCENTILE($F$6:$F$75,0.6),3,IF(F51&lt;=PERCENTILE($F$6:$F$75,0.8),2,1))))</f>
        <v>2</v>
      </c>
      <c r="J51" s="4" t="n">
        <f aca="false">IF(G51&gt;=PERCENTILE($G$6:$G$75,0.8),5,IF(G51&gt;=PERCENTILE($G$6:$G$75,0.6),4,IF(G51&gt;=PERCENTILE($G$6:$G$75,0.4),3,IF(G51&gt;=PERCENTILE($G$6:$G$75,0.2),2,1))))</f>
        <v>3</v>
      </c>
      <c r="K51" s="4" t="n">
        <f aca="false">IF(H51&gt;=PERCENTILE($H$6:$H$75,0.8),5,IF(H51&gt;=PERCENTILE($H$6:$H$75,0.6),4,IF(H51&gt;=PERCENTILE($H$6:$H$75,0.4),3,IF(H51&gt;=PERCENTILE($H$6:$H$75,0.2),2,1))))</f>
        <v>2</v>
      </c>
      <c r="L51" s="10" t="str">
        <f aca="false">IF(AND(I51&gt;=4,J51&gt;=4),"Champions",IF(AND(I51&gt;=3,J51&gt;=4),"Loyal Customers",IF(AND(I51&gt;=4,J51&lt;=3),"Potential Loyalist",IF(AND(I51&lt;=2,J51&gt;=3),"At Risk",IF(AND(I51&lt;=2,J51&lt;=2),"Lost","Need Attention")))))</f>
        <v>At Risk</v>
      </c>
    </row>
    <row r="52" customFormat="false" ht="15" hidden="false" customHeight="false" outlineLevel="0" collapsed="false">
      <c r="A52" s="4" t="s">
        <v>35</v>
      </c>
      <c r="B52" s="4" t="str">
        <f aca="false">IFERROR(INDEX('Transactions Data'!$C$5:$C$281,MATCH(A52,'Transactions Data'!$B$5:$B$281,0)),"")</f>
        <v>John Green</v>
      </c>
      <c r="C52" s="4" t="str">
        <f aca="false">IFERROR(INDEX('Transactions Data'!$D$5:$D$281,MATCH(A52,'Transactions Data'!$B$5:$B$281,0)),"")</f>
        <v>Canada</v>
      </c>
      <c r="D52" s="7" t="n">
        <f aca="false">DATE(YEAR(_xlfn.MINIFS('Transactions Data'!$E$5:$E$281,'Transactions Data'!$B$5:$B$281,A52)),MONTH(_xlfn.MINIFS('Transactions Data'!$E$5:$E$281,'Transactions Data'!$B$5:$B$281,A52)),1)</f>
        <v>45323</v>
      </c>
      <c r="E52" s="5" t="n">
        <f aca="false">_xlfn.MAXIFS('Transactions Data'!$E$5:$E$281,'Transactions Data'!$B$5:$B$281,A52)</f>
        <v>45330</v>
      </c>
      <c r="F52" s="4" t="n">
        <f aca="false">$C$3-E52</f>
        <v>328</v>
      </c>
      <c r="G52" s="4" t="n">
        <f aca="false">COUNTIFS('Transactions Data'!$B$5:$B$281,A52)</f>
        <v>3</v>
      </c>
      <c r="H52" s="6" t="n">
        <f aca="false">SUMIFS('Transactions Data'!$F$5:$F$281,'Transactions Data'!$B$5:$B$281,A52)</f>
        <v>372.3</v>
      </c>
      <c r="I52" s="4" t="n">
        <f aca="false">IF(F52&lt;=PERCENTILE($F$6:$F$75,0.2),5,IF(F52&lt;=PERCENTILE($F$6:$F$75,0.4),4,IF(F52&lt;=PERCENTILE($F$6:$F$75,0.6),3,IF(F52&lt;=PERCENTILE($F$6:$F$75,0.8),2,1))))</f>
        <v>1</v>
      </c>
      <c r="J52" s="4" t="n">
        <f aca="false">IF(G52&gt;=PERCENTILE($G$6:$G$75,0.8),5,IF(G52&gt;=PERCENTILE($G$6:$G$75,0.6),4,IF(G52&gt;=PERCENTILE($G$6:$G$75,0.4),3,IF(G52&gt;=PERCENTILE($G$6:$G$75,0.2),2,1))))</f>
        <v>4</v>
      </c>
      <c r="K52" s="4" t="n">
        <f aca="false">IF(H52&gt;=PERCENTILE($H$6:$H$75,0.8),5,IF(H52&gt;=PERCENTILE($H$6:$H$75,0.6),4,IF(H52&gt;=PERCENTILE($H$6:$H$75,0.4),3,IF(H52&gt;=PERCENTILE($H$6:$H$75,0.2),2,1))))</f>
        <v>4</v>
      </c>
      <c r="L52" s="10" t="str">
        <f aca="false">IF(AND(I52&gt;=4,J52&gt;=4),"Champions",IF(AND(I52&gt;=3,J52&gt;=4),"Loyal Customers",IF(AND(I52&gt;=4,J52&lt;=3),"Potential Loyalist",IF(AND(I52&lt;=2,J52&gt;=3),"At Risk",IF(AND(I52&lt;=2,J52&lt;=2),"Lost","Need Attention")))))</f>
        <v>At Risk</v>
      </c>
    </row>
    <row r="53" customFormat="false" ht="15" hidden="false" customHeight="false" outlineLevel="0" collapsed="false">
      <c r="A53" s="4" t="s">
        <v>147</v>
      </c>
      <c r="B53" s="4" t="str">
        <f aca="false">IFERROR(INDEX('Transactions Data'!$C$5:$C$281,MATCH(A53,'Transactions Data'!$B$5:$B$281,0)),"")</f>
        <v>Isabella King</v>
      </c>
      <c r="C53" s="4" t="str">
        <f aca="false">IFERROR(INDEX('Transactions Data'!$D$5:$D$281,MATCH(A53,'Transactions Data'!$B$5:$B$281,0)),"")</f>
        <v>United Kingdom</v>
      </c>
      <c r="D53" s="7" t="n">
        <f aca="false">DATE(YEAR(_xlfn.MINIFS('Transactions Data'!$E$5:$E$281,'Transactions Data'!$B$5:$B$281,A53)),MONTH(_xlfn.MINIFS('Transactions Data'!$E$5:$E$281,'Transactions Data'!$B$5:$B$281,A53)),1)</f>
        <v>45505</v>
      </c>
      <c r="E53" s="5" t="n">
        <f aca="false">_xlfn.MAXIFS('Transactions Data'!$E$5:$E$281,'Transactions Data'!$B$5:$B$281,A53)</f>
        <v>45521</v>
      </c>
      <c r="F53" s="4" t="n">
        <f aca="false">$C$3-E53</f>
        <v>137</v>
      </c>
      <c r="G53" s="4" t="n">
        <f aca="false">COUNTIFS('Transactions Data'!$B$5:$B$281,A53)</f>
        <v>1</v>
      </c>
      <c r="H53" s="6" t="n">
        <f aca="false">SUMIFS('Transactions Data'!$F$5:$F$281,'Transactions Data'!$B$5:$B$281,A53)</f>
        <v>192.56</v>
      </c>
      <c r="I53" s="4" t="n">
        <f aca="false">IF(F53&lt;=PERCENTILE($F$6:$F$75,0.2),5,IF(F53&lt;=PERCENTILE($F$6:$F$75,0.4),4,IF(F53&lt;=PERCENTILE($F$6:$F$75,0.6),3,IF(F53&lt;=PERCENTILE($F$6:$F$75,0.8),2,1))))</f>
        <v>4</v>
      </c>
      <c r="J53" s="4" t="n">
        <f aca="false">IF(G53&gt;=PERCENTILE($G$6:$G$75,0.8),5,IF(G53&gt;=PERCENTILE($G$6:$G$75,0.6),4,IF(G53&gt;=PERCENTILE($G$6:$G$75,0.4),3,IF(G53&gt;=PERCENTILE($G$6:$G$75,0.2),2,1))))</f>
        <v>2</v>
      </c>
      <c r="K53" s="4" t="n">
        <f aca="false">IF(H53&gt;=PERCENTILE($H$6:$H$75,0.8),5,IF(H53&gt;=PERCENTILE($H$6:$H$75,0.6),4,IF(H53&gt;=PERCENTILE($H$6:$H$75,0.4),3,IF(H53&gt;=PERCENTILE($H$6:$H$75,0.2),2,1))))</f>
        <v>2</v>
      </c>
      <c r="L53" s="10" t="str">
        <f aca="false">IF(AND(I53&gt;=4,J53&gt;=4),"Champions",IF(AND(I53&gt;=3,J53&gt;=4),"Loyal Customers",IF(AND(I53&gt;=4,J53&lt;=3),"Potential Loyalist",IF(AND(I53&lt;=2,J53&gt;=3),"At Risk",IF(AND(I53&lt;=2,J53&lt;=2),"Lost","Need Attention")))))</f>
        <v>Potential Loyalist</v>
      </c>
    </row>
    <row r="54" customFormat="false" ht="15" hidden="false" customHeight="false" outlineLevel="0" collapsed="false">
      <c r="A54" s="4" t="s">
        <v>133</v>
      </c>
      <c r="B54" s="4" t="str">
        <f aca="false">IFERROR(INDEX('Transactions Data'!$C$5:$C$281,MATCH(A54,'Transactions Data'!$B$5:$B$281,0)),"")</f>
        <v>Victoria Hall</v>
      </c>
      <c r="C54" s="4" t="str">
        <f aca="false">IFERROR(INDEX('Transactions Data'!$D$5:$D$281,MATCH(A54,'Transactions Data'!$B$5:$B$281,0)),"")</f>
        <v>United States</v>
      </c>
      <c r="D54" s="7" t="n">
        <f aca="false">DATE(YEAR(_xlfn.MINIFS('Transactions Data'!$E$5:$E$281,'Transactions Data'!$B$5:$B$281,A54)),MONTH(_xlfn.MINIFS('Transactions Data'!$E$5:$E$281,'Transactions Data'!$B$5:$B$281,A54)),1)</f>
        <v>45474</v>
      </c>
      <c r="E54" s="5" t="n">
        <f aca="false">_xlfn.MAXIFS('Transactions Data'!$E$5:$E$281,'Transactions Data'!$B$5:$B$281,A54)</f>
        <v>45504</v>
      </c>
      <c r="F54" s="4" t="n">
        <f aca="false">$C$3-E54</f>
        <v>154</v>
      </c>
      <c r="G54" s="4" t="n">
        <f aca="false">COUNTIFS('Transactions Data'!$B$5:$B$281,A54)</f>
        <v>2</v>
      </c>
      <c r="H54" s="6" t="n">
        <f aca="false">SUMIFS('Transactions Data'!$F$5:$F$281,'Transactions Data'!$B$5:$B$281,A54)</f>
        <v>153.51</v>
      </c>
      <c r="I54" s="4" t="n">
        <f aca="false">IF(F54&lt;=PERCENTILE($F$6:$F$75,0.2),5,IF(F54&lt;=PERCENTILE($F$6:$F$75,0.4),4,IF(F54&lt;=PERCENTILE($F$6:$F$75,0.6),3,IF(F54&lt;=PERCENTILE($F$6:$F$75,0.8),2,1))))</f>
        <v>4</v>
      </c>
      <c r="J54" s="4" t="n">
        <f aca="false">IF(G54&gt;=PERCENTILE($G$6:$G$75,0.8),5,IF(G54&gt;=PERCENTILE($G$6:$G$75,0.6),4,IF(G54&gt;=PERCENTILE($G$6:$G$75,0.4),3,IF(G54&gt;=PERCENTILE($G$6:$G$75,0.2),2,1))))</f>
        <v>3</v>
      </c>
      <c r="K54" s="4" t="n">
        <f aca="false">IF(H54&gt;=PERCENTILE($H$6:$H$75,0.8),5,IF(H54&gt;=PERCENTILE($H$6:$H$75,0.6),4,IF(H54&gt;=PERCENTILE($H$6:$H$75,0.4),3,IF(H54&gt;=PERCENTILE($H$6:$H$75,0.2),2,1))))</f>
        <v>2</v>
      </c>
      <c r="L54" s="10" t="str">
        <f aca="false">IF(AND(I54&gt;=4,J54&gt;=4),"Champions",IF(AND(I54&gt;=3,J54&gt;=4),"Loyal Customers",IF(AND(I54&gt;=4,J54&lt;=3),"Potential Loyalist",IF(AND(I54&lt;=2,J54&gt;=3),"At Risk",IF(AND(I54&lt;=2,J54&lt;=2),"Lost","Need Attention")))))</f>
        <v>Potential Loyalist</v>
      </c>
    </row>
    <row r="55" customFormat="false" ht="15" hidden="false" customHeight="false" outlineLevel="0" collapsed="false">
      <c r="A55" s="4" t="s">
        <v>55</v>
      </c>
      <c r="B55" s="4" t="str">
        <f aca="false">IFERROR(INDEX('Transactions Data'!$C$5:$C$281,MATCH(A55,'Transactions Data'!$B$5:$B$281,0)),"")</f>
        <v>William Wilson</v>
      </c>
      <c r="C55" s="4" t="str">
        <f aca="false">IFERROR(INDEX('Transactions Data'!$D$5:$D$281,MATCH(A55,'Transactions Data'!$B$5:$B$281,0)),"")</f>
        <v>United Kingdom</v>
      </c>
      <c r="D55" s="7" t="n">
        <f aca="false">DATE(YEAR(_xlfn.MINIFS('Transactions Data'!$E$5:$E$281,'Transactions Data'!$B$5:$B$281,A55)),MONTH(_xlfn.MINIFS('Transactions Data'!$E$5:$E$281,'Transactions Data'!$B$5:$B$281,A55)),1)</f>
        <v>45352</v>
      </c>
      <c r="E55" s="5" t="n">
        <f aca="false">_xlfn.MAXIFS('Transactions Data'!$E$5:$E$281,'Transactions Data'!$B$5:$B$281,A55)</f>
        <v>45356</v>
      </c>
      <c r="F55" s="4" t="n">
        <f aca="false">$C$3-E55</f>
        <v>302</v>
      </c>
      <c r="G55" s="4" t="n">
        <f aca="false">COUNTIFS('Transactions Data'!$B$5:$B$281,A55)</f>
        <v>1</v>
      </c>
      <c r="H55" s="6" t="n">
        <f aca="false">SUMIFS('Transactions Data'!$F$5:$F$281,'Transactions Data'!$B$5:$B$281,A55)</f>
        <v>24.05</v>
      </c>
      <c r="I55" s="4" t="n">
        <f aca="false">IF(F55&lt;=PERCENTILE($F$6:$F$75,0.2),5,IF(F55&lt;=PERCENTILE($F$6:$F$75,0.4),4,IF(F55&lt;=PERCENTILE($F$6:$F$75,0.6),3,IF(F55&lt;=PERCENTILE($F$6:$F$75,0.8),2,1))))</f>
        <v>1</v>
      </c>
      <c r="J55" s="4" t="n">
        <f aca="false">IF(G55&gt;=PERCENTILE($G$6:$G$75,0.8),5,IF(G55&gt;=PERCENTILE($G$6:$G$75,0.6),4,IF(G55&gt;=PERCENTILE($G$6:$G$75,0.4),3,IF(G55&gt;=PERCENTILE($G$6:$G$75,0.2),2,1))))</f>
        <v>2</v>
      </c>
      <c r="K55" s="4" t="n">
        <f aca="false">IF(H55&gt;=PERCENTILE($H$6:$H$75,0.8),5,IF(H55&gt;=PERCENTILE($H$6:$H$75,0.6),4,IF(H55&gt;=PERCENTILE($H$6:$H$75,0.4),3,IF(H55&gt;=PERCENTILE($H$6:$H$75,0.2),2,1))))</f>
        <v>1</v>
      </c>
      <c r="L55" s="10" t="str">
        <f aca="false">IF(AND(I55&gt;=4,J55&gt;=4),"Champions",IF(AND(I55&gt;=3,J55&gt;=4),"Loyal Customers",IF(AND(I55&gt;=4,J55&lt;=3),"Potential Loyalist",IF(AND(I55&lt;=2,J55&gt;=3),"At Risk",IF(AND(I55&lt;=2,J55&lt;=2),"Lost","Need Attention")))))</f>
        <v>Lost</v>
      </c>
    </row>
    <row r="56" customFormat="false" ht="15" hidden="false" customHeight="false" outlineLevel="0" collapsed="false">
      <c r="A56" s="4" t="s">
        <v>137</v>
      </c>
      <c r="B56" s="4" t="str">
        <f aca="false">IFERROR(INDEX('Transactions Data'!$C$5:$C$281,MATCH(A56,'Transactions Data'!$B$5:$B$281,0)),"")</f>
        <v>Aurora Anderson</v>
      </c>
      <c r="C56" s="4" t="str">
        <f aca="false">IFERROR(INDEX('Transactions Data'!$D$5:$D$281,MATCH(A56,'Transactions Data'!$B$5:$B$281,0)),"")</f>
        <v>Germany</v>
      </c>
      <c r="D56" s="7" t="n">
        <f aca="false">DATE(YEAR(_xlfn.MINIFS('Transactions Data'!$E$5:$E$281,'Transactions Data'!$B$5:$B$281,A56)),MONTH(_xlfn.MINIFS('Transactions Data'!$E$5:$E$281,'Transactions Data'!$B$5:$B$281,A56)),1)</f>
        <v>45505</v>
      </c>
      <c r="E56" s="5" t="n">
        <f aca="false">_xlfn.MAXIFS('Transactions Data'!$E$5:$E$281,'Transactions Data'!$B$5:$B$281,A56)</f>
        <v>45617</v>
      </c>
      <c r="F56" s="4" t="n">
        <f aca="false">$C$3-E56</f>
        <v>41</v>
      </c>
      <c r="G56" s="4" t="n">
        <f aca="false">COUNTIFS('Transactions Data'!$B$5:$B$281,A56)</f>
        <v>6</v>
      </c>
      <c r="H56" s="6" t="n">
        <f aca="false">SUMIFS('Transactions Data'!$F$5:$F$281,'Transactions Data'!$B$5:$B$281,A56)</f>
        <v>592.94</v>
      </c>
      <c r="I56" s="4" t="n">
        <f aca="false">IF(F56&lt;=PERCENTILE($F$6:$F$75,0.2),5,IF(F56&lt;=PERCENTILE($F$6:$F$75,0.4),4,IF(F56&lt;=PERCENTILE($F$6:$F$75,0.6),3,IF(F56&lt;=PERCENTILE($F$6:$F$75,0.8),2,1))))</f>
        <v>5</v>
      </c>
      <c r="J56" s="4" t="n">
        <f aca="false">IF(G56&gt;=PERCENTILE($G$6:$G$75,0.8),5,IF(G56&gt;=PERCENTILE($G$6:$G$75,0.6),4,IF(G56&gt;=PERCENTILE($G$6:$G$75,0.4),3,IF(G56&gt;=PERCENTILE($G$6:$G$75,0.2),2,1))))</f>
        <v>4</v>
      </c>
      <c r="K56" s="4" t="n">
        <f aca="false">IF(H56&gt;=PERCENTILE($H$6:$H$75,0.8),5,IF(H56&gt;=PERCENTILE($H$6:$H$75,0.6),4,IF(H56&gt;=PERCENTILE($H$6:$H$75,0.4),3,IF(H56&gt;=PERCENTILE($H$6:$H$75,0.2),2,1))))</f>
        <v>4</v>
      </c>
      <c r="L56" s="10" t="str">
        <f aca="false">IF(AND(I56&gt;=4,J56&gt;=4),"Champions",IF(AND(I56&gt;=3,J56&gt;=4),"Loyal Customers",IF(AND(I56&gt;=4,J56&lt;=3),"Potential Loyalist",IF(AND(I56&lt;=2,J56&gt;=3),"At Risk",IF(AND(I56&lt;=2,J56&lt;=2),"Lost","Need Attention")))))</f>
        <v>Champions</v>
      </c>
    </row>
    <row r="57" customFormat="false" ht="15" hidden="false" customHeight="false" outlineLevel="0" collapsed="false">
      <c r="A57" s="4" t="s">
        <v>57</v>
      </c>
      <c r="B57" s="4" t="str">
        <f aca="false">IFERROR(INDEX('Transactions Data'!$C$5:$C$281,MATCH(A57,'Transactions Data'!$B$5:$B$281,0)),"")</f>
        <v>Oscar Anderson</v>
      </c>
      <c r="C57" s="4" t="str">
        <f aca="false">IFERROR(INDEX('Transactions Data'!$D$5:$D$281,MATCH(A57,'Transactions Data'!$B$5:$B$281,0)),"")</f>
        <v>Germany</v>
      </c>
      <c r="D57" s="7" t="n">
        <f aca="false">DATE(YEAR(_xlfn.MINIFS('Transactions Data'!$E$5:$E$281,'Transactions Data'!$B$5:$B$281,A57)),MONTH(_xlfn.MINIFS('Transactions Data'!$E$5:$E$281,'Transactions Data'!$B$5:$B$281,A57)),1)</f>
        <v>45352</v>
      </c>
      <c r="E57" s="5" t="n">
        <f aca="false">_xlfn.MAXIFS('Transactions Data'!$E$5:$E$281,'Transactions Data'!$B$5:$B$281,A57)</f>
        <v>45657</v>
      </c>
      <c r="F57" s="4" t="n">
        <f aca="false">$C$3-E57</f>
        <v>1</v>
      </c>
      <c r="G57" s="4" t="n">
        <f aca="false">COUNTIFS('Transactions Data'!$B$5:$B$281,A57)</f>
        <v>13</v>
      </c>
      <c r="H57" s="6" t="n">
        <f aca="false">SUMIFS('Transactions Data'!$F$5:$F$281,'Transactions Data'!$B$5:$B$281,A57)</f>
        <v>1653.18</v>
      </c>
      <c r="I57" s="4" t="n">
        <f aca="false">IF(F57&lt;=PERCENTILE($F$6:$F$75,0.2),5,IF(F57&lt;=PERCENTILE($F$6:$F$75,0.4),4,IF(F57&lt;=PERCENTILE($F$6:$F$75,0.6),3,IF(F57&lt;=PERCENTILE($F$6:$F$75,0.8),2,1))))</f>
        <v>5</v>
      </c>
      <c r="J57" s="4" t="n">
        <f aca="false">IF(G57&gt;=PERCENTILE($G$6:$G$75,0.8),5,IF(G57&gt;=PERCENTILE($G$6:$G$75,0.6),4,IF(G57&gt;=PERCENTILE($G$6:$G$75,0.4),3,IF(G57&gt;=PERCENTILE($G$6:$G$75,0.2),2,1))))</f>
        <v>5</v>
      </c>
      <c r="K57" s="4" t="n">
        <f aca="false">IF(H57&gt;=PERCENTILE($H$6:$H$75,0.8),5,IF(H57&gt;=PERCENTILE($H$6:$H$75,0.6),4,IF(H57&gt;=PERCENTILE($H$6:$H$75,0.4),3,IF(H57&gt;=PERCENTILE($H$6:$H$75,0.2),2,1))))</f>
        <v>5</v>
      </c>
      <c r="L57" s="10" t="str">
        <f aca="false">IF(AND(I57&gt;=4,J57&gt;=4),"Champions",IF(AND(I57&gt;=3,J57&gt;=4),"Loyal Customers",IF(AND(I57&gt;=4,J57&lt;=3),"Potential Loyalist",IF(AND(I57&lt;=2,J57&gt;=3),"At Risk",IF(AND(I57&lt;=2,J57&lt;=2),"Lost","Need Attention")))))</f>
        <v>Champions</v>
      </c>
    </row>
    <row r="58" customFormat="false" ht="15" hidden="false" customHeight="false" outlineLevel="0" collapsed="false">
      <c r="A58" s="4" t="s">
        <v>123</v>
      </c>
      <c r="B58" s="4" t="str">
        <f aca="false">IFERROR(INDEX('Transactions Data'!$C$5:$C$281,MATCH(A58,'Transactions Data'!$B$5:$B$281,0)),"")</f>
        <v>Mia Baker</v>
      </c>
      <c r="C58" s="4" t="str">
        <f aca="false">IFERROR(INDEX('Transactions Data'!$D$5:$D$281,MATCH(A58,'Transactions Data'!$B$5:$B$281,0)),"")</f>
        <v>United Kingdom</v>
      </c>
      <c r="D58" s="7" t="n">
        <f aca="false">DATE(YEAR(_xlfn.MINIFS('Transactions Data'!$E$5:$E$281,'Transactions Data'!$B$5:$B$281,A58)),MONTH(_xlfn.MINIFS('Transactions Data'!$E$5:$E$281,'Transactions Data'!$B$5:$B$281,A58)),1)</f>
        <v>45474</v>
      </c>
      <c r="E58" s="5" t="n">
        <f aca="false">_xlfn.MAXIFS('Transactions Data'!$E$5:$E$281,'Transactions Data'!$B$5:$B$281,A58)</f>
        <v>45489</v>
      </c>
      <c r="F58" s="4" t="n">
        <f aca="false">$C$3-E58</f>
        <v>169</v>
      </c>
      <c r="G58" s="4" t="n">
        <f aca="false">COUNTIFS('Transactions Data'!$B$5:$B$281,A58)</f>
        <v>2</v>
      </c>
      <c r="H58" s="6" t="n">
        <f aca="false">SUMIFS('Transactions Data'!$F$5:$F$281,'Transactions Data'!$B$5:$B$281,A58)</f>
        <v>294.47</v>
      </c>
      <c r="I58" s="4" t="n">
        <f aca="false">IF(F58&lt;=PERCENTILE($F$6:$F$75,0.2),5,IF(F58&lt;=PERCENTILE($F$6:$F$75,0.4),4,IF(F58&lt;=PERCENTILE($F$6:$F$75,0.6),3,IF(F58&lt;=PERCENTILE($F$6:$F$75,0.8),2,1))))</f>
        <v>3</v>
      </c>
      <c r="J58" s="4" t="n">
        <f aca="false">IF(G58&gt;=PERCENTILE($G$6:$G$75,0.8),5,IF(G58&gt;=PERCENTILE($G$6:$G$75,0.6),4,IF(G58&gt;=PERCENTILE($G$6:$G$75,0.4),3,IF(G58&gt;=PERCENTILE($G$6:$G$75,0.2),2,1))))</f>
        <v>3</v>
      </c>
      <c r="K58" s="4" t="n">
        <f aca="false">IF(H58&gt;=PERCENTILE($H$6:$H$75,0.8),5,IF(H58&gt;=PERCENTILE($H$6:$H$75,0.6),4,IF(H58&gt;=PERCENTILE($H$6:$H$75,0.4),3,IF(H58&gt;=PERCENTILE($H$6:$H$75,0.2),2,1))))</f>
        <v>3</v>
      </c>
      <c r="L58" s="10" t="str">
        <f aca="false">IF(AND(I58&gt;=4,J58&gt;=4),"Champions",IF(AND(I58&gt;=3,J58&gt;=4),"Loyal Customers",IF(AND(I58&gt;=4,J58&lt;=3),"Potential Loyalist",IF(AND(I58&lt;=2,J58&gt;=3),"At Risk",IF(AND(I58&lt;=2,J58&lt;=2),"Lost","Need Attention")))))</f>
        <v>Need Attention</v>
      </c>
    </row>
    <row r="59" customFormat="false" ht="15" hidden="false" customHeight="false" outlineLevel="0" collapsed="false">
      <c r="A59" s="4" t="s">
        <v>93</v>
      </c>
      <c r="B59" s="4" t="str">
        <f aca="false">IFERROR(INDEX('Transactions Data'!$C$5:$C$281,MATCH(A59,'Transactions Data'!$B$5:$B$281,0)),"")</f>
        <v>Jack Moore</v>
      </c>
      <c r="C59" s="4" t="str">
        <f aca="false">IFERROR(INDEX('Transactions Data'!$D$5:$D$281,MATCH(A59,'Transactions Data'!$B$5:$B$281,0)),"")</f>
        <v>United States</v>
      </c>
      <c r="D59" s="7" t="n">
        <f aca="false">DATE(YEAR(_xlfn.MINIFS('Transactions Data'!$E$5:$E$281,'Transactions Data'!$B$5:$B$281,A59)),MONTH(_xlfn.MINIFS('Transactions Data'!$E$5:$E$281,'Transactions Data'!$B$5:$B$281,A59)),1)</f>
        <v>45413</v>
      </c>
      <c r="E59" s="5" t="n">
        <f aca="false">_xlfn.MAXIFS('Transactions Data'!$E$5:$E$281,'Transactions Data'!$B$5:$B$281,A59)</f>
        <v>45640</v>
      </c>
      <c r="F59" s="4" t="n">
        <f aca="false">$C$3-E59</f>
        <v>18</v>
      </c>
      <c r="G59" s="4" t="n">
        <f aca="false">COUNTIFS('Transactions Data'!$B$5:$B$281,A59)</f>
        <v>10</v>
      </c>
      <c r="H59" s="6" t="n">
        <f aca="false">SUMIFS('Transactions Data'!$F$5:$F$281,'Transactions Data'!$B$5:$B$281,A59)</f>
        <v>1458.13</v>
      </c>
      <c r="I59" s="4" t="n">
        <f aca="false">IF(F59&lt;=PERCENTILE($F$6:$F$75,0.2),5,IF(F59&lt;=PERCENTILE($F$6:$F$75,0.4),4,IF(F59&lt;=PERCENTILE($F$6:$F$75,0.6),3,IF(F59&lt;=PERCENTILE($F$6:$F$75,0.8),2,1))))</f>
        <v>5</v>
      </c>
      <c r="J59" s="4" t="n">
        <f aca="false">IF(G59&gt;=PERCENTILE($G$6:$G$75,0.8),5,IF(G59&gt;=PERCENTILE($G$6:$G$75,0.6),4,IF(G59&gt;=PERCENTILE($G$6:$G$75,0.4),3,IF(G59&gt;=PERCENTILE($G$6:$G$75,0.2),2,1))))</f>
        <v>5</v>
      </c>
      <c r="K59" s="4" t="n">
        <f aca="false">IF(H59&gt;=PERCENTILE($H$6:$H$75,0.8),5,IF(H59&gt;=PERCENTILE($H$6:$H$75,0.6),4,IF(H59&gt;=PERCENTILE($H$6:$H$75,0.4),3,IF(H59&gt;=PERCENTILE($H$6:$H$75,0.2),2,1))))</f>
        <v>5</v>
      </c>
      <c r="L59" s="10" t="str">
        <f aca="false">IF(AND(I59&gt;=4,J59&gt;=4),"Champions",IF(AND(I59&gt;=3,J59&gt;=4),"Loyal Customers",IF(AND(I59&gt;=4,J59&lt;=3),"Potential Loyalist",IF(AND(I59&lt;=2,J59&gt;=3),"At Risk",IF(AND(I59&lt;=2,J59&lt;=2),"Lost","Need Attention")))))</f>
        <v>Champions</v>
      </c>
    </row>
    <row r="60" customFormat="false" ht="15" hidden="false" customHeight="false" outlineLevel="0" collapsed="false">
      <c r="A60" s="4" t="s">
        <v>111</v>
      </c>
      <c r="B60" s="4" t="str">
        <f aca="false">IFERROR(INDEX('Transactions Data'!$C$5:$C$281,MATCH(A60,'Transactions Data'!$B$5:$B$281,0)),"")</f>
        <v>Gabriel Clark</v>
      </c>
      <c r="C60" s="4" t="str">
        <f aca="false">IFERROR(INDEX('Transactions Data'!$D$5:$D$281,MATCH(A60,'Transactions Data'!$B$5:$B$281,0)),"")</f>
        <v>Germany</v>
      </c>
      <c r="D60" s="7" t="n">
        <f aca="false">DATE(YEAR(_xlfn.MINIFS('Transactions Data'!$E$5:$E$281,'Transactions Data'!$B$5:$B$281,A60)),MONTH(_xlfn.MINIFS('Transactions Data'!$E$5:$E$281,'Transactions Data'!$B$5:$B$281,A60)),1)</f>
        <v>45444</v>
      </c>
      <c r="E60" s="5" t="n">
        <f aca="false">_xlfn.MAXIFS('Transactions Data'!$E$5:$E$281,'Transactions Data'!$B$5:$B$281,A60)</f>
        <v>45651</v>
      </c>
      <c r="F60" s="4" t="n">
        <f aca="false">$C$3-E60</f>
        <v>7</v>
      </c>
      <c r="G60" s="4" t="n">
        <f aca="false">COUNTIFS('Transactions Data'!$B$5:$B$281,A60)</f>
        <v>9</v>
      </c>
      <c r="H60" s="6" t="n">
        <f aca="false">SUMIFS('Transactions Data'!$F$5:$F$281,'Transactions Data'!$B$5:$B$281,A60)</f>
        <v>976.95</v>
      </c>
      <c r="I60" s="4" t="n">
        <f aca="false">IF(F60&lt;=PERCENTILE($F$6:$F$75,0.2),5,IF(F60&lt;=PERCENTILE($F$6:$F$75,0.4),4,IF(F60&lt;=PERCENTILE($F$6:$F$75,0.6),3,IF(F60&lt;=PERCENTILE($F$6:$F$75,0.8),2,1))))</f>
        <v>5</v>
      </c>
      <c r="J60" s="4" t="n">
        <f aca="false">IF(G60&gt;=PERCENTILE($G$6:$G$75,0.8),5,IF(G60&gt;=PERCENTILE($G$6:$G$75,0.6),4,IF(G60&gt;=PERCENTILE($G$6:$G$75,0.4),3,IF(G60&gt;=PERCENTILE($G$6:$G$75,0.2),2,1))))</f>
        <v>5</v>
      </c>
      <c r="K60" s="4" t="n">
        <f aca="false">IF(H60&gt;=PERCENTILE($H$6:$H$75,0.8),5,IF(H60&gt;=PERCENTILE($H$6:$H$75,0.6),4,IF(H60&gt;=PERCENTILE($H$6:$H$75,0.4),3,IF(H60&gt;=PERCENTILE($H$6:$H$75,0.2),2,1))))</f>
        <v>5</v>
      </c>
      <c r="L60" s="10" t="str">
        <f aca="false">IF(AND(I60&gt;=4,J60&gt;=4),"Champions",IF(AND(I60&gt;=3,J60&gt;=4),"Loyal Customers",IF(AND(I60&gt;=4,J60&lt;=3),"Potential Loyalist",IF(AND(I60&lt;=2,J60&gt;=3),"At Risk",IF(AND(I60&lt;=2,J60&lt;=2),"Lost","Need Attention")))))</f>
        <v>Champions</v>
      </c>
    </row>
    <row r="61" customFormat="false" ht="15" hidden="false" customHeight="false" outlineLevel="0" collapsed="false">
      <c r="A61" s="4" t="s">
        <v>101</v>
      </c>
      <c r="B61" s="4" t="str">
        <f aca="false">IFERROR(INDEX('Transactions Data'!$C$5:$C$281,MATCH(A61,'Transactions Data'!$B$5:$B$281,0)),"")</f>
        <v>Scarlett Anderson</v>
      </c>
      <c r="C61" s="4" t="str">
        <f aca="false">IFERROR(INDEX('Transactions Data'!$D$5:$D$281,MATCH(A61,'Transactions Data'!$B$5:$B$281,0)),"")</f>
        <v>United States</v>
      </c>
      <c r="D61" s="7" t="n">
        <f aca="false">DATE(YEAR(_xlfn.MINIFS('Transactions Data'!$E$5:$E$281,'Transactions Data'!$B$5:$B$281,A61)),MONTH(_xlfn.MINIFS('Transactions Data'!$E$5:$E$281,'Transactions Data'!$B$5:$B$281,A61)),1)</f>
        <v>45444</v>
      </c>
      <c r="E61" s="5" t="n">
        <f aca="false">_xlfn.MAXIFS('Transactions Data'!$E$5:$E$281,'Transactions Data'!$B$5:$B$281,A61)</f>
        <v>45502</v>
      </c>
      <c r="F61" s="4" t="n">
        <f aca="false">$C$3-E61</f>
        <v>156</v>
      </c>
      <c r="G61" s="4" t="n">
        <f aca="false">COUNTIFS('Transactions Data'!$B$5:$B$281,A61)</f>
        <v>4</v>
      </c>
      <c r="H61" s="6" t="n">
        <f aca="false">SUMIFS('Transactions Data'!$F$5:$F$281,'Transactions Data'!$B$5:$B$281,A61)</f>
        <v>512.31</v>
      </c>
      <c r="I61" s="4" t="n">
        <f aca="false">IF(F61&lt;=PERCENTILE($F$6:$F$75,0.2),5,IF(F61&lt;=PERCENTILE($F$6:$F$75,0.4),4,IF(F61&lt;=PERCENTILE($F$6:$F$75,0.6),3,IF(F61&lt;=PERCENTILE($F$6:$F$75,0.8),2,1))))</f>
        <v>4</v>
      </c>
      <c r="J61" s="4" t="n">
        <f aca="false">IF(G61&gt;=PERCENTILE($G$6:$G$75,0.8),5,IF(G61&gt;=PERCENTILE($G$6:$G$75,0.6),4,IF(G61&gt;=PERCENTILE($G$6:$G$75,0.4),3,IF(G61&gt;=PERCENTILE($G$6:$G$75,0.2),2,1))))</f>
        <v>4</v>
      </c>
      <c r="K61" s="4" t="n">
        <f aca="false">IF(H61&gt;=PERCENTILE($H$6:$H$75,0.8),5,IF(H61&gt;=PERCENTILE($H$6:$H$75,0.6),4,IF(H61&gt;=PERCENTILE($H$6:$H$75,0.4),3,IF(H61&gt;=PERCENTILE($H$6:$H$75,0.2),2,1))))</f>
        <v>4</v>
      </c>
      <c r="L61" s="10" t="str">
        <f aca="false">IF(AND(I61&gt;=4,J61&gt;=4),"Champions",IF(AND(I61&gt;=3,J61&gt;=4),"Loyal Customers",IF(AND(I61&gt;=4,J61&lt;=3),"Potential Loyalist",IF(AND(I61&lt;=2,J61&gt;=3),"At Risk",IF(AND(I61&lt;=2,J61&lt;=2),"Lost","Need Attention")))))</f>
        <v>Champions</v>
      </c>
    </row>
    <row r="62" customFormat="false" ht="15" hidden="false" customHeight="false" outlineLevel="0" collapsed="false">
      <c r="A62" s="4" t="s">
        <v>67</v>
      </c>
      <c r="B62" s="4" t="str">
        <f aca="false">IFERROR(INDEX('Transactions Data'!$C$5:$C$281,MATCH(A62,'Transactions Data'!$B$5:$B$281,0)),"")</f>
        <v>Julian Wright</v>
      </c>
      <c r="C62" s="4" t="str">
        <f aca="false">IFERROR(INDEX('Transactions Data'!$D$5:$D$281,MATCH(A62,'Transactions Data'!$B$5:$B$281,0)),"")</f>
        <v>Germany</v>
      </c>
      <c r="D62" s="7" t="n">
        <f aca="false">DATE(YEAR(_xlfn.MINIFS('Transactions Data'!$E$5:$E$281,'Transactions Data'!$B$5:$B$281,A62)),MONTH(_xlfn.MINIFS('Transactions Data'!$E$5:$E$281,'Transactions Data'!$B$5:$B$281,A62)),1)</f>
        <v>45352</v>
      </c>
      <c r="E62" s="5" t="n">
        <f aca="false">_xlfn.MAXIFS('Transactions Data'!$E$5:$E$281,'Transactions Data'!$B$5:$B$281,A62)</f>
        <v>45402</v>
      </c>
      <c r="F62" s="4" t="n">
        <f aca="false">$C$3-E62</f>
        <v>256</v>
      </c>
      <c r="G62" s="4" t="n">
        <f aca="false">COUNTIFS('Transactions Data'!$B$5:$B$281,A62)</f>
        <v>3</v>
      </c>
      <c r="H62" s="6" t="n">
        <f aca="false">SUMIFS('Transactions Data'!$F$5:$F$281,'Transactions Data'!$B$5:$B$281,A62)</f>
        <v>414.23</v>
      </c>
      <c r="I62" s="4" t="n">
        <f aca="false">IF(F62&lt;=PERCENTILE($F$6:$F$75,0.2),5,IF(F62&lt;=PERCENTILE($F$6:$F$75,0.4),4,IF(F62&lt;=PERCENTILE($F$6:$F$75,0.6),3,IF(F62&lt;=PERCENTILE($F$6:$F$75,0.8),2,1))))</f>
        <v>2</v>
      </c>
      <c r="J62" s="4" t="n">
        <f aca="false">IF(G62&gt;=PERCENTILE($G$6:$G$75,0.8),5,IF(G62&gt;=PERCENTILE($G$6:$G$75,0.6),4,IF(G62&gt;=PERCENTILE($G$6:$G$75,0.4),3,IF(G62&gt;=PERCENTILE($G$6:$G$75,0.2),2,1))))</f>
        <v>4</v>
      </c>
      <c r="K62" s="4" t="n">
        <f aca="false">IF(H62&gt;=PERCENTILE($H$6:$H$75,0.8),5,IF(H62&gt;=PERCENTILE($H$6:$H$75,0.6),4,IF(H62&gt;=PERCENTILE($H$6:$H$75,0.4),3,IF(H62&gt;=PERCENTILE($H$6:$H$75,0.2),2,1))))</f>
        <v>4</v>
      </c>
      <c r="L62" s="10" t="str">
        <f aca="false">IF(AND(I62&gt;=4,J62&gt;=4),"Champions",IF(AND(I62&gt;=3,J62&gt;=4),"Loyal Customers",IF(AND(I62&gt;=4,J62&lt;=3),"Potential Loyalist",IF(AND(I62&lt;=2,J62&gt;=3),"At Risk",IF(AND(I62&lt;=2,J62&lt;=2),"Lost","Need Attention")))))</f>
        <v>At Risk</v>
      </c>
    </row>
    <row r="63" customFormat="false" ht="15" hidden="false" customHeight="false" outlineLevel="0" collapsed="false">
      <c r="A63" s="4" t="s">
        <v>143</v>
      </c>
      <c r="B63" s="4" t="str">
        <f aca="false">IFERROR(INDEX('Transactions Data'!$C$5:$C$281,MATCH(A63,'Transactions Data'!$B$5:$B$281,0)),"")</f>
        <v>Claire Baker</v>
      </c>
      <c r="C63" s="4" t="str">
        <f aca="false">IFERROR(INDEX('Transactions Data'!$D$5:$D$281,MATCH(A63,'Transactions Data'!$B$5:$B$281,0)),"")</f>
        <v>United States</v>
      </c>
      <c r="D63" s="7" t="n">
        <f aca="false">DATE(YEAR(_xlfn.MINIFS('Transactions Data'!$E$5:$E$281,'Transactions Data'!$B$5:$B$281,A63)),MONTH(_xlfn.MINIFS('Transactions Data'!$E$5:$E$281,'Transactions Data'!$B$5:$B$281,A63)),1)</f>
        <v>45505</v>
      </c>
      <c r="E63" s="5" t="n">
        <f aca="false">_xlfn.MAXIFS('Transactions Data'!$E$5:$E$281,'Transactions Data'!$B$5:$B$281,A63)</f>
        <v>45513</v>
      </c>
      <c r="F63" s="4" t="n">
        <f aca="false">$C$3-E63</f>
        <v>145</v>
      </c>
      <c r="G63" s="4" t="n">
        <f aca="false">COUNTIFS('Transactions Data'!$B$5:$B$281,A63)</f>
        <v>1</v>
      </c>
      <c r="H63" s="6" t="n">
        <f aca="false">SUMIFS('Transactions Data'!$F$5:$F$281,'Transactions Data'!$B$5:$B$281,A63)</f>
        <v>117.95</v>
      </c>
      <c r="I63" s="4" t="n">
        <f aca="false">IF(F63&lt;=PERCENTILE($F$6:$F$75,0.2),5,IF(F63&lt;=PERCENTILE($F$6:$F$75,0.4),4,IF(F63&lt;=PERCENTILE($F$6:$F$75,0.6),3,IF(F63&lt;=PERCENTILE($F$6:$F$75,0.8),2,1))))</f>
        <v>4</v>
      </c>
      <c r="J63" s="4" t="n">
        <f aca="false">IF(G63&gt;=PERCENTILE($G$6:$G$75,0.8),5,IF(G63&gt;=PERCENTILE($G$6:$G$75,0.6),4,IF(G63&gt;=PERCENTILE($G$6:$G$75,0.4),3,IF(G63&gt;=PERCENTILE($G$6:$G$75,0.2),2,1))))</f>
        <v>2</v>
      </c>
      <c r="K63" s="4" t="n">
        <f aca="false">IF(H63&gt;=PERCENTILE($H$6:$H$75,0.8),5,IF(H63&gt;=PERCENTILE($H$6:$H$75,0.6),4,IF(H63&gt;=PERCENTILE($H$6:$H$75,0.4),3,IF(H63&gt;=PERCENTILE($H$6:$H$75,0.2),2,1))))</f>
        <v>1</v>
      </c>
      <c r="L63" s="10" t="str">
        <f aca="false">IF(AND(I63&gt;=4,J63&gt;=4),"Champions",IF(AND(I63&gt;=3,J63&gt;=4),"Loyal Customers",IF(AND(I63&gt;=4,J63&lt;=3),"Potential Loyalist",IF(AND(I63&lt;=2,J63&gt;=3),"At Risk",IF(AND(I63&lt;=2,J63&lt;=2),"Lost","Need Attention")))))</f>
        <v>Potential Loyalist</v>
      </c>
    </row>
    <row r="64" customFormat="false" ht="15" hidden="false" customHeight="false" outlineLevel="0" collapsed="false">
      <c r="A64" s="4" t="s">
        <v>61</v>
      </c>
      <c r="B64" s="4" t="str">
        <f aca="false">IFERROR(INDEX('Transactions Data'!$C$5:$C$281,MATCH(A64,'Transactions Data'!$B$5:$B$281,0)),"")</f>
        <v>John Anderson</v>
      </c>
      <c r="C64" s="4" t="str">
        <f aca="false">IFERROR(INDEX('Transactions Data'!$D$5:$D$281,MATCH(A64,'Transactions Data'!$B$5:$B$281,0)),"")</f>
        <v>United Kingdom</v>
      </c>
      <c r="D64" s="7" t="n">
        <f aca="false">DATE(YEAR(_xlfn.MINIFS('Transactions Data'!$E$5:$E$281,'Transactions Data'!$B$5:$B$281,A64)),MONTH(_xlfn.MINIFS('Transactions Data'!$E$5:$E$281,'Transactions Data'!$B$5:$B$281,A64)),1)</f>
        <v>45352</v>
      </c>
      <c r="E64" s="5" t="n">
        <f aca="false">_xlfn.MAXIFS('Transactions Data'!$E$5:$E$281,'Transactions Data'!$B$5:$B$281,A64)</f>
        <v>45395</v>
      </c>
      <c r="F64" s="4" t="n">
        <f aca="false">$C$3-E64</f>
        <v>263</v>
      </c>
      <c r="G64" s="4" t="n">
        <f aca="false">COUNTIFS('Transactions Data'!$B$5:$B$281,A64)</f>
        <v>2</v>
      </c>
      <c r="H64" s="6" t="n">
        <f aca="false">SUMIFS('Transactions Data'!$F$5:$F$281,'Transactions Data'!$B$5:$B$281,A64)</f>
        <v>111.72</v>
      </c>
      <c r="I64" s="4" t="n">
        <f aca="false">IF(F64&lt;=PERCENTILE($F$6:$F$75,0.2),5,IF(F64&lt;=PERCENTILE($F$6:$F$75,0.4),4,IF(F64&lt;=PERCENTILE($F$6:$F$75,0.6),3,IF(F64&lt;=PERCENTILE($F$6:$F$75,0.8),2,1))))</f>
        <v>2</v>
      </c>
      <c r="J64" s="4" t="n">
        <f aca="false">IF(G64&gt;=PERCENTILE($G$6:$G$75,0.8),5,IF(G64&gt;=PERCENTILE($G$6:$G$75,0.6),4,IF(G64&gt;=PERCENTILE($G$6:$G$75,0.4),3,IF(G64&gt;=PERCENTILE($G$6:$G$75,0.2),2,1))))</f>
        <v>3</v>
      </c>
      <c r="K64" s="4" t="n">
        <f aca="false">IF(H64&gt;=PERCENTILE($H$6:$H$75,0.8),5,IF(H64&gt;=PERCENTILE($H$6:$H$75,0.6),4,IF(H64&gt;=PERCENTILE($H$6:$H$75,0.4),3,IF(H64&gt;=PERCENTILE($H$6:$H$75,0.2),2,1))))</f>
        <v>1</v>
      </c>
      <c r="L64" s="10" t="str">
        <f aca="false">IF(AND(I64&gt;=4,J64&gt;=4),"Champions",IF(AND(I64&gt;=3,J64&gt;=4),"Loyal Customers",IF(AND(I64&gt;=4,J64&lt;=3),"Potential Loyalist",IF(AND(I64&lt;=2,J64&gt;=3),"At Risk",IF(AND(I64&lt;=2,J64&lt;=2),"Lost","Need Attention")))))</f>
        <v>At Risk</v>
      </c>
    </row>
    <row r="65" customFormat="false" ht="15" hidden="false" customHeight="false" outlineLevel="0" collapsed="false">
      <c r="A65" s="4" t="s">
        <v>105</v>
      </c>
      <c r="B65" s="4" t="str">
        <f aca="false">IFERROR(INDEX('Transactions Data'!$C$5:$C$281,MATCH(A65,'Transactions Data'!$B$5:$B$281,0)),"")</f>
        <v>Isabella Adams</v>
      </c>
      <c r="C65" s="4" t="str">
        <f aca="false">IFERROR(INDEX('Transactions Data'!$D$5:$D$281,MATCH(A65,'Transactions Data'!$B$5:$B$281,0)),"")</f>
        <v>United States</v>
      </c>
      <c r="D65" s="7" t="n">
        <f aca="false">DATE(YEAR(_xlfn.MINIFS('Transactions Data'!$E$5:$E$281,'Transactions Data'!$B$5:$B$281,A65)),MONTH(_xlfn.MINIFS('Transactions Data'!$E$5:$E$281,'Transactions Data'!$B$5:$B$281,A65)),1)</f>
        <v>45444</v>
      </c>
      <c r="E65" s="5" t="n">
        <f aca="false">_xlfn.MAXIFS('Transactions Data'!$E$5:$E$281,'Transactions Data'!$B$5:$B$281,A65)</f>
        <v>45452</v>
      </c>
      <c r="F65" s="4" t="n">
        <f aca="false">$C$3-E65</f>
        <v>206</v>
      </c>
      <c r="G65" s="4" t="n">
        <f aca="false">COUNTIFS('Transactions Data'!$B$5:$B$281,A65)</f>
        <v>2</v>
      </c>
      <c r="H65" s="6" t="n">
        <f aca="false">SUMIFS('Transactions Data'!$F$5:$F$281,'Transactions Data'!$B$5:$B$281,A65)</f>
        <v>215.98</v>
      </c>
      <c r="I65" s="4" t="n">
        <f aca="false">IF(F65&lt;=PERCENTILE($F$6:$F$75,0.2),5,IF(F65&lt;=PERCENTILE($F$6:$F$75,0.4),4,IF(F65&lt;=PERCENTILE($F$6:$F$75,0.6),3,IF(F65&lt;=PERCENTILE($F$6:$F$75,0.8),2,1))))</f>
        <v>3</v>
      </c>
      <c r="J65" s="4" t="n">
        <f aca="false">IF(G65&gt;=PERCENTILE($G$6:$G$75,0.8),5,IF(G65&gt;=PERCENTILE($G$6:$G$75,0.6),4,IF(G65&gt;=PERCENTILE($G$6:$G$75,0.4),3,IF(G65&gt;=PERCENTILE($G$6:$G$75,0.2),2,1))))</f>
        <v>3</v>
      </c>
      <c r="K65" s="4" t="n">
        <f aca="false">IF(H65&gt;=PERCENTILE($H$6:$H$75,0.8),5,IF(H65&gt;=PERCENTILE($H$6:$H$75,0.6),4,IF(H65&gt;=PERCENTILE($H$6:$H$75,0.4),3,IF(H65&gt;=PERCENTILE($H$6:$H$75,0.2),2,1))))</f>
        <v>3</v>
      </c>
      <c r="L65" s="10" t="str">
        <f aca="false">IF(AND(I65&gt;=4,J65&gt;=4),"Champions",IF(AND(I65&gt;=3,J65&gt;=4),"Loyal Customers",IF(AND(I65&gt;=4,J65&lt;=3),"Potential Loyalist",IF(AND(I65&lt;=2,J65&gt;=3),"At Risk",IF(AND(I65&lt;=2,J65&lt;=2),"Lost","Need Attention")))))</f>
        <v>Need Attention</v>
      </c>
    </row>
    <row r="66" customFormat="false" ht="15" hidden="false" customHeight="false" outlineLevel="0" collapsed="false">
      <c r="A66" s="4" t="s">
        <v>51</v>
      </c>
      <c r="B66" s="4" t="str">
        <f aca="false">IFERROR(INDEX('Transactions Data'!$C$5:$C$281,MATCH(A66,'Transactions Data'!$B$5:$B$281,0)),"")</f>
        <v>Claire Adams</v>
      </c>
      <c r="C66" s="4" t="str">
        <f aca="false">IFERROR(INDEX('Transactions Data'!$D$5:$D$281,MATCH(A66,'Transactions Data'!$B$5:$B$281,0)),"")</f>
        <v>Australia</v>
      </c>
      <c r="D66" s="7" t="n">
        <f aca="false">DATE(YEAR(_xlfn.MINIFS('Transactions Data'!$E$5:$E$281,'Transactions Data'!$B$5:$B$281,A66)),MONTH(_xlfn.MINIFS('Transactions Data'!$E$5:$E$281,'Transactions Data'!$B$5:$B$281,A66)),1)</f>
        <v>45323</v>
      </c>
      <c r="E66" s="5" t="n">
        <f aca="false">_xlfn.MAXIFS('Transactions Data'!$E$5:$E$281,'Transactions Data'!$B$5:$B$281,A66)</f>
        <v>45350</v>
      </c>
      <c r="F66" s="4" t="n">
        <f aca="false">$C$3-E66</f>
        <v>308</v>
      </c>
      <c r="G66" s="4" t="n">
        <f aca="false">COUNTIFS('Transactions Data'!$B$5:$B$281,A66)</f>
        <v>1</v>
      </c>
      <c r="H66" s="6" t="n">
        <f aca="false">SUMIFS('Transactions Data'!$F$5:$F$281,'Transactions Data'!$B$5:$B$281,A66)</f>
        <v>107.87</v>
      </c>
      <c r="I66" s="4" t="n">
        <f aca="false">IF(F66&lt;=PERCENTILE($F$6:$F$75,0.2),5,IF(F66&lt;=PERCENTILE($F$6:$F$75,0.4),4,IF(F66&lt;=PERCENTILE($F$6:$F$75,0.6),3,IF(F66&lt;=PERCENTILE($F$6:$F$75,0.8),2,1))))</f>
        <v>1</v>
      </c>
      <c r="J66" s="4" t="n">
        <f aca="false">IF(G66&gt;=PERCENTILE($G$6:$G$75,0.8),5,IF(G66&gt;=PERCENTILE($G$6:$G$75,0.6),4,IF(G66&gt;=PERCENTILE($G$6:$G$75,0.4),3,IF(G66&gt;=PERCENTILE($G$6:$G$75,0.2),2,1))))</f>
        <v>2</v>
      </c>
      <c r="K66" s="4" t="n">
        <f aca="false">IF(H66&gt;=PERCENTILE($H$6:$H$75,0.8),5,IF(H66&gt;=PERCENTILE($H$6:$H$75,0.6),4,IF(H66&gt;=PERCENTILE($H$6:$H$75,0.4),3,IF(H66&gt;=PERCENTILE($H$6:$H$75,0.2),2,1))))</f>
        <v>1</v>
      </c>
      <c r="L66" s="10" t="str">
        <f aca="false">IF(AND(I66&gt;=4,J66&gt;=4),"Champions",IF(AND(I66&gt;=3,J66&gt;=4),"Loyal Customers",IF(AND(I66&gt;=4,J66&lt;=3),"Potential Loyalist",IF(AND(I66&lt;=2,J66&gt;=3),"At Risk",IF(AND(I66&lt;=2,J66&lt;=2),"Lost","Need Attention")))))</f>
        <v>Lost</v>
      </c>
    </row>
    <row r="67" customFormat="false" ht="15" hidden="false" customHeight="false" outlineLevel="0" collapsed="false">
      <c r="A67" s="4" t="s">
        <v>87</v>
      </c>
      <c r="B67" s="4" t="str">
        <f aca="false">IFERROR(INDEX('Transactions Data'!$C$5:$C$281,MATCH(A67,'Transactions Data'!$B$5:$B$281,0)),"")</f>
        <v>Olivia Clark</v>
      </c>
      <c r="C67" s="4" t="str">
        <f aca="false">IFERROR(INDEX('Transactions Data'!$D$5:$D$281,MATCH(A67,'Transactions Data'!$B$5:$B$281,0)),"")</f>
        <v>United Kingdom</v>
      </c>
      <c r="D67" s="7" t="n">
        <f aca="false">DATE(YEAR(_xlfn.MINIFS('Transactions Data'!$E$5:$E$281,'Transactions Data'!$B$5:$B$281,A67)),MONTH(_xlfn.MINIFS('Transactions Data'!$E$5:$E$281,'Transactions Data'!$B$5:$B$281,A67)),1)</f>
        <v>45413</v>
      </c>
      <c r="E67" s="5" t="n">
        <f aca="false">_xlfn.MAXIFS('Transactions Data'!$E$5:$E$281,'Transactions Data'!$B$5:$B$281,A67)</f>
        <v>45556</v>
      </c>
      <c r="F67" s="4" t="n">
        <f aca="false">$C$3-E67</f>
        <v>102</v>
      </c>
      <c r="G67" s="4" t="n">
        <f aca="false">COUNTIFS('Transactions Data'!$B$5:$B$281,A67)</f>
        <v>6</v>
      </c>
      <c r="H67" s="6" t="n">
        <f aca="false">SUMIFS('Transactions Data'!$F$5:$F$281,'Transactions Data'!$B$5:$B$281,A67)</f>
        <v>896.81</v>
      </c>
      <c r="I67" s="4" t="n">
        <f aca="false">IF(F67&lt;=PERCENTILE($F$6:$F$75,0.2),5,IF(F67&lt;=PERCENTILE($F$6:$F$75,0.4),4,IF(F67&lt;=PERCENTILE($F$6:$F$75,0.6),3,IF(F67&lt;=PERCENTILE($F$6:$F$75,0.8),2,1))))</f>
        <v>4</v>
      </c>
      <c r="J67" s="4" t="n">
        <f aca="false">IF(G67&gt;=PERCENTILE($G$6:$G$75,0.8),5,IF(G67&gt;=PERCENTILE($G$6:$G$75,0.6),4,IF(G67&gt;=PERCENTILE($G$6:$G$75,0.4),3,IF(G67&gt;=PERCENTILE($G$6:$G$75,0.2),2,1))))</f>
        <v>4</v>
      </c>
      <c r="K67" s="4" t="n">
        <f aca="false">IF(H67&gt;=PERCENTILE($H$6:$H$75,0.8),5,IF(H67&gt;=PERCENTILE($H$6:$H$75,0.6),4,IF(H67&gt;=PERCENTILE($H$6:$H$75,0.4),3,IF(H67&gt;=PERCENTILE($H$6:$H$75,0.2),2,1))))</f>
        <v>5</v>
      </c>
      <c r="L67" s="10" t="str">
        <f aca="false">IF(AND(I67&gt;=4,J67&gt;=4),"Champions",IF(AND(I67&gt;=3,J67&gt;=4),"Loyal Customers",IF(AND(I67&gt;=4,J67&lt;=3),"Potential Loyalist",IF(AND(I67&lt;=2,J67&gt;=3),"At Risk",IF(AND(I67&lt;=2,J67&lt;=2),"Lost","Need Attention")))))</f>
        <v>Champions</v>
      </c>
    </row>
    <row r="68" customFormat="false" ht="15" hidden="false" customHeight="false" outlineLevel="0" collapsed="false">
      <c r="A68" s="4" t="s">
        <v>13</v>
      </c>
      <c r="B68" s="4" t="str">
        <f aca="false">IFERROR(INDEX('Transactions Data'!$C$5:$C$281,MATCH(A68,'Transactions Data'!$B$5:$B$281,0)),"")</f>
        <v>Daniel Baker</v>
      </c>
      <c r="C68" s="4" t="str">
        <f aca="false">IFERROR(INDEX('Transactions Data'!$D$5:$D$281,MATCH(A68,'Transactions Data'!$B$5:$B$281,0)),"")</f>
        <v>Australia</v>
      </c>
      <c r="D68" s="7" t="n">
        <f aca="false">DATE(YEAR(_xlfn.MINIFS('Transactions Data'!$E$5:$E$281,'Transactions Data'!$B$5:$B$281,A68)),MONTH(_xlfn.MINIFS('Transactions Data'!$E$5:$E$281,'Transactions Data'!$B$5:$B$281,A68)),1)</f>
        <v>45292</v>
      </c>
      <c r="E68" s="5" t="n">
        <f aca="false">_xlfn.MAXIFS('Transactions Data'!$E$5:$E$281,'Transactions Data'!$B$5:$B$281,A68)</f>
        <v>45315</v>
      </c>
      <c r="F68" s="4" t="n">
        <f aca="false">$C$3-E68</f>
        <v>343</v>
      </c>
      <c r="G68" s="4" t="n">
        <f aca="false">COUNTIFS('Transactions Data'!$B$5:$B$281,A68)</f>
        <v>2</v>
      </c>
      <c r="H68" s="6" t="n">
        <f aca="false">SUMIFS('Transactions Data'!$F$5:$F$281,'Transactions Data'!$B$5:$B$281,A68)</f>
        <v>75.81</v>
      </c>
      <c r="I68" s="4" t="n">
        <f aca="false">IF(F68&lt;=PERCENTILE($F$6:$F$75,0.2),5,IF(F68&lt;=PERCENTILE($F$6:$F$75,0.4),4,IF(F68&lt;=PERCENTILE($F$6:$F$75,0.6),3,IF(F68&lt;=PERCENTILE($F$6:$F$75,0.8),2,1))))</f>
        <v>1</v>
      </c>
      <c r="J68" s="4" t="n">
        <f aca="false">IF(G68&gt;=PERCENTILE($G$6:$G$75,0.8),5,IF(G68&gt;=PERCENTILE($G$6:$G$75,0.6),4,IF(G68&gt;=PERCENTILE($G$6:$G$75,0.4),3,IF(G68&gt;=PERCENTILE($G$6:$G$75,0.2),2,1))))</f>
        <v>3</v>
      </c>
      <c r="K68" s="4" t="n">
        <f aca="false">IF(H68&gt;=PERCENTILE($H$6:$H$75,0.8),5,IF(H68&gt;=PERCENTILE($H$6:$H$75,0.6),4,IF(H68&gt;=PERCENTILE($H$6:$H$75,0.4),3,IF(H68&gt;=PERCENTILE($H$6:$H$75,0.2),2,1))))</f>
        <v>1</v>
      </c>
      <c r="L68" s="10" t="str">
        <f aca="false">IF(AND(I68&gt;=4,J68&gt;=4),"Champions",IF(AND(I68&gt;=3,J68&gt;=4),"Loyal Customers",IF(AND(I68&gt;=4,J68&lt;=3),"Potential Loyalist",IF(AND(I68&lt;=2,J68&gt;=3),"At Risk",IF(AND(I68&lt;=2,J68&lt;=2),"Lost","Need Attention")))))</f>
        <v>At Risk</v>
      </c>
    </row>
    <row r="69" customFormat="false" ht="15" hidden="false" customHeight="false" outlineLevel="0" collapsed="false">
      <c r="A69" s="4" t="s">
        <v>73</v>
      </c>
      <c r="B69" s="4" t="str">
        <f aca="false">IFERROR(INDEX('Transactions Data'!$C$5:$C$281,MATCH(A69,'Transactions Data'!$B$5:$B$281,0)),"")</f>
        <v>Robert Scott</v>
      </c>
      <c r="C69" s="4" t="str">
        <f aca="false">IFERROR(INDEX('Transactions Data'!$D$5:$D$281,MATCH(A69,'Transactions Data'!$B$5:$B$281,0)),"")</f>
        <v>Canada</v>
      </c>
      <c r="D69" s="7" t="n">
        <f aca="false">DATE(YEAR(_xlfn.MINIFS('Transactions Data'!$E$5:$E$281,'Transactions Data'!$B$5:$B$281,A69)),MONTH(_xlfn.MINIFS('Transactions Data'!$E$5:$E$281,'Transactions Data'!$B$5:$B$281,A69)),1)</f>
        <v>45383</v>
      </c>
      <c r="E69" s="5" t="n">
        <f aca="false">_xlfn.MAXIFS('Transactions Data'!$E$5:$E$281,'Transactions Data'!$B$5:$B$281,A69)</f>
        <v>45556</v>
      </c>
      <c r="F69" s="4" t="n">
        <f aca="false">$C$3-E69</f>
        <v>102</v>
      </c>
      <c r="G69" s="4" t="n">
        <f aca="false">COUNTIFS('Transactions Data'!$B$5:$B$281,A69)</f>
        <v>8</v>
      </c>
      <c r="H69" s="6" t="n">
        <f aca="false">SUMIFS('Transactions Data'!$F$5:$F$281,'Transactions Data'!$B$5:$B$281,A69)</f>
        <v>688.15</v>
      </c>
      <c r="I69" s="4" t="n">
        <f aca="false">IF(F69&lt;=PERCENTILE($F$6:$F$75,0.2),5,IF(F69&lt;=PERCENTILE($F$6:$F$75,0.4),4,IF(F69&lt;=PERCENTILE($F$6:$F$75,0.6),3,IF(F69&lt;=PERCENTILE($F$6:$F$75,0.8),2,1))))</f>
        <v>4</v>
      </c>
      <c r="J69" s="4" t="n">
        <f aca="false">IF(G69&gt;=PERCENTILE($G$6:$G$75,0.8),5,IF(G69&gt;=PERCENTILE($G$6:$G$75,0.6),4,IF(G69&gt;=PERCENTILE($G$6:$G$75,0.4),3,IF(G69&gt;=PERCENTILE($G$6:$G$75,0.2),2,1))))</f>
        <v>5</v>
      </c>
      <c r="K69" s="4" t="n">
        <f aca="false">IF(H69&gt;=PERCENTILE($H$6:$H$75,0.8),5,IF(H69&gt;=PERCENTILE($H$6:$H$75,0.6),4,IF(H69&gt;=PERCENTILE($H$6:$H$75,0.4),3,IF(H69&gt;=PERCENTILE($H$6:$H$75,0.2),2,1))))</f>
        <v>4</v>
      </c>
      <c r="L69" s="10" t="str">
        <f aca="false">IF(AND(I69&gt;=4,J69&gt;=4),"Champions",IF(AND(I69&gt;=3,J69&gt;=4),"Loyal Customers",IF(AND(I69&gt;=4,J69&lt;=3),"Potential Loyalist",IF(AND(I69&lt;=2,J69&gt;=3),"At Risk",IF(AND(I69&lt;=2,J69&lt;=2),"Lost","Need Attention")))))</f>
        <v>Champions</v>
      </c>
    </row>
    <row r="70" customFormat="false" ht="15" hidden="false" customHeight="false" outlineLevel="0" collapsed="false">
      <c r="A70" s="4" t="s">
        <v>149</v>
      </c>
      <c r="B70" s="4" t="str">
        <f aca="false">IFERROR(INDEX('Transactions Data'!$C$5:$C$281,MATCH(A70,'Transactions Data'!$B$5:$B$281,0)),"")</f>
        <v>Penelope Baker</v>
      </c>
      <c r="C70" s="4" t="str">
        <f aca="false">IFERROR(INDEX('Transactions Data'!$D$5:$D$281,MATCH(A70,'Transactions Data'!$B$5:$B$281,0)),"")</f>
        <v>Germany</v>
      </c>
      <c r="D70" s="7" t="n">
        <f aca="false">DATE(YEAR(_xlfn.MINIFS('Transactions Data'!$E$5:$E$281,'Transactions Data'!$B$5:$B$281,A70)),MONTH(_xlfn.MINIFS('Transactions Data'!$E$5:$E$281,'Transactions Data'!$B$5:$B$281,A70)),1)</f>
        <v>45505</v>
      </c>
      <c r="E70" s="5" t="n">
        <f aca="false">_xlfn.MAXIFS('Transactions Data'!$E$5:$E$281,'Transactions Data'!$B$5:$B$281,A70)</f>
        <v>45535</v>
      </c>
      <c r="F70" s="4" t="n">
        <f aca="false">$C$3-E70</f>
        <v>123</v>
      </c>
      <c r="G70" s="4" t="n">
        <f aca="false">COUNTIFS('Transactions Data'!$B$5:$B$281,A70)</f>
        <v>2</v>
      </c>
      <c r="H70" s="6" t="n">
        <f aca="false">SUMIFS('Transactions Data'!$F$5:$F$281,'Transactions Data'!$B$5:$B$281,A70)</f>
        <v>200.64</v>
      </c>
      <c r="I70" s="4" t="n">
        <f aca="false">IF(F70&lt;=PERCENTILE($F$6:$F$75,0.2),5,IF(F70&lt;=PERCENTILE($F$6:$F$75,0.4),4,IF(F70&lt;=PERCENTILE($F$6:$F$75,0.6),3,IF(F70&lt;=PERCENTILE($F$6:$F$75,0.8),2,1))))</f>
        <v>4</v>
      </c>
      <c r="J70" s="4" t="n">
        <f aca="false">IF(G70&gt;=PERCENTILE($G$6:$G$75,0.8),5,IF(G70&gt;=PERCENTILE($G$6:$G$75,0.6),4,IF(G70&gt;=PERCENTILE($G$6:$G$75,0.4),3,IF(G70&gt;=PERCENTILE($G$6:$G$75,0.2),2,1))))</f>
        <v>3</v>
      </c>
      <c r="K70" s="4" t="n">
        <f aca="false">IF(H70&gt;=PERCENTILE($H$6:$H$75,0.8),5,IF(H70&gt;=PERCENTILE($H$6:$H$75,0.6),4,IF(H70&gt;=PERCENTILE($H$6:$H$75,0.4),3,IF(H70&gt;=PERCENTILE($H$6:$H$75,0.2),2,1))))</f>
        <v>2</v>
      </c>
      <c r="L70" s="10" t="str">
        <f aca="false">IF(AND(I70&gt;=4,J70&gt;=4),"Champions",IF(AND(I70&gt;=3,J70&gt;=4),"Loyal Customers",IF(AND(I70&gt;=4,J70&lt;=3),"Potential Loyalist",IF(AND(I70&lt;=2,J70&gt;=3),"At Risk",IF(AND(I70&lt;=2,J70&lt;=2),"Lost","Need Attention")))))</f>
        <v>Potential Loyalist</v>
      </c>
    </row>
    <row r="71" customFormat="false" ht="15" hidden="false" customHeight="false" outlineLevel="0" collapsed="false">
      <c r="A71" s="4" t="s">
        <v>77</v>
      </c>
      <c r="B71" s="4" t="str">
        <f aca="false">IFERROR(INDEX('Transactions Data'!$C$5:$C$281,MATCH(A71,'Transactions Data'!$B$5:$B$281,0)),"")</f>
        <v>Ivy Baker</v>
      </c>
      <c r="C71" s="4" t="str">
        <f aca="false">IFERROR(INDEX('Transactions Data'!$D$5:$D$281,MATCH(A71,'Transactions Data'!$B$5:$B$281,0)),"")</f>
        <v>Canada</v>
      </c>
      <c r="D71" s="7" t="n">
        <f aca="false">DATE(YEAR(_xlfn.MINIFS('Transactions Data'!$E$5:$E$281,'Transactions Data'!$B$5:$B$281,A71)),MONTH(_xlfn.MINIFS('Transactions Data'!$E$5:$E$281,'Transactions Data'!$B$5:$B$281,A71)),1)</f>
        <v>45383</v>
      </c>
      <c r="E71" s="5" t="n">
        <f aca="false">_xlfn.MAXIFS('Transactions Data'!$E$5:$E$281,'Transactions Data'!$B$5:$B$281,A71)</f>
        <v>45402</v>
      </c>
      <c r="F71" s="4" t="n">
        <f aca="false">$C$3-E71</f>
        <v>256</v>
      </c>
      <c r="G71" s="4" t="n">
        <f aca="false">COUNTIFS('Transactions Data'!$B$5:$B$281,A71)</f>
        <v>1</v>
      </c>
      <c r="H71" s="6" t="n">
        <f aca="false">SUMIFS('Transactions Data'!$F$5:$F$281,'Transactions Data'!$B$5:$B$281,A71)</f>
        <v>207.12</v>
      </c>
      <c r="I71" s="4" t="n">
        <f aca="false">IF(F71&lt;=PERCENTILE($F$6:$F$75,0.2),5,IF(F71&lt;=PERCENTILE($F$6:$F$75,0.4),4,IF(F71&lt;=PERCENTILE($F$6:$F$75,0.6),3,IF(F71&lt;=PERCENTILE($F$6:$F$75,0.8),2,1))))</f>
        <v>2</v>
      </c>
      <c r="J71" s="4" t="n">
        <f aca="false">IF(G71&gt;=PERCENTILE($G$6:$G$75,0.8),5,IF(G71&gt;=PERCENTILE($G$6:$G$75,0.6),4,IF(G71&gt;=PERCENTILE($G$6:$G$75,0.4),3,IF(G71&gt;=PERCENTILE($G$6:$G$75,0.2),2,1))))</f>
        <v>2</v>
      </c>
      <c r="K71" s="4" t="n">
        <f aca="false">IF(H71&gt;=PERCENTILE($H$6:$H$75,0.8),5,IF(H71&gt;=PERCENTILE($H$6:$H$75,0.6),4,IF(H71&gt;=PERCENTILE($H$6:$H$75,0.4),3,IF(H71&gt;=PERCENTILE($H$6:$H$75,0.2),2,1))))</f>
        <v>2</v>
      </c>
      <c r="L71" s="10" t="str">
        <f aca="false">IF(AND(I71&gt;=4,J71&gt;=4),"Champions",IF(AND(I71&gt;=3,J71&gt;=4),"Loyal Customers",IF(AND(I71&gt;=4,J71&lt;=3),"Potential Loyalist",IF(AND(I71&lt;=2,J71&gt;=3),"At Risk",IF(AND(I71&lt;=2,J71&lt;=2),"Lost","Need Attention")))))</f>
        <v>Lost</v>
      </c>
    </row>
    <row r="72" customFormat="false" ht="15" hidden="false" customHeight="false" outlineLevel="0" collapsed="false">
      <c r="A72" s="4" t="s">
        <v>121</v>
      </c>
      <c r="B72" s="4" t="str">
        <f aca="false">IFERROR(INDEX('Transactions Data'!$C$5:$C$281,MATCH(A72,'Transactions Data'!$B$5:$B$281,0)),"")</f>
        <v>Grace Wright</v>
      </c>
      <c r="C72" s="4" t="str">
        <f aca="false">IFERROR(INDEX('Transactions Data'!$D$5:$D$281,MATCH(A72,'Transactions Data'!$B$5:$B$281,0)),"")</f>
        <v>United States</v>
      </c>
      <c r="D72" s="7" t="n">
        <f aca="false">DATE(YEAR(_xlfn.MINIFS('Transactions Data'!$E$5:$E$281,'Transactions Data'!$B$5:$B$281,A72)),MONTH(_xlfn.MINIFS('Transactions Data'!$E$5:$E$281,'Transactions Data'!$B$5:$B$281,A72)),1)</f>
        <v>45474</v>
      </c>
      <c r="E72" s="5" t="n">
        <f aca="false">_xlfn.MAXIFS('Transactions Data'!$E$5:$E$281,'Transactions Data'!$B$5:$B$281,A72)</f>
        <v>45481</v>
      </c>
      <c r="F72" s="4" t="n">
        <f aca="false">$C$3-E72</f>
        <v>177</v>
      </c>
      <c r="G72" s="4" t="n">
        <f aca="false">COUNTIFS('Transactions Data'!$B$5:$B$281,A72)</f>
        <v>3</v>
      </c>
      <c r="H72" s="6" t="n">
        <f aca="false">SUMIFS('Transactions Data'!$F$5:$F$281,'Transactions Data'!$B$5:$B$281,A72)</f>
        <v>173.48</v>
      </c>
      <c r="I72" s="4" t="n">
        <f aca="false">IF(F72&lt;=PERCENTILE($F$6:$F$75,0.2),5,IF(F72&lt;=PERCENTILE($F$6:$F$75,0.4),4,IF(F72&lt;=PERCENTILE($F$6:$F$75,0.6),3,IF(F72&lt;=PERCENTILE($F$6:$F$75,0.8),2,1))))</f>
        <v>3</v>
      </c>
      <c r="J72" s="4" t="n">
        <f aca="false">IF(G72&gt;=PERCENTILE($G$6:$G$75,0.8),5,IF(G72&gt;=PERCENTILE($G$6:$G$75,0.6),4,IF(G72&gt;=PERCENTILE($G$6:$G$75,0.4),3,IF(G72&gt;=PERCENTILE($G$6:$G$75,0.2),2,1))))</f>
        <v>4</v>
      </c>
      <c r="K72" s="4" t="n">
        <f aca="false">IF(H72&gt;=PERCENTILE($H$6:$H$75,0.8),5,IF(H72&gt;=PERCENTILE($H$6:$H$75,0.6),4,IF(H72&gt;=PERCENTILE($H$6:$H$75,0.4),3,IF(H72&gt;=PERCENTILE($H$6:$H$75,0.2),2,1))))</f>
        <v>2</v>
      </c>
      <c r="L72" s="10" t="str">
        <f aca="false">IF(AND(I72&gt;=4,J72&gt;=4),"Champions",IF(AND(I72&gt;=3,J72&gt;=4),"Loyal Customers",IF(AND(I72&gt;=4,J72&lt;=3),"Potential Loyalist",IF(AND(I72&lt;=2,J72&gt;=3),"At Risk",IF(AND(I72&lt;=2,J72&lt;=2),"Lost","Need Attention")))))</f>
        <v>Loyal Customers</v>
      </c>
    </row>
    <row r="73" customFormat="false" ht="15" hidden="false" customHeight="false" outlineLevel="0" collapsed="false">
      <c r="A73" s="4" t="s">
        <v>47</v>
      </c>
      <c r="B73" s="4" t="str">
        <f aca="false">IFERROR(INDEX('Transactions Data'!$C$5:$C$281,MATCH(A73,'Transactions Data'!$B$5:$B$281,0)),"")</f>
        <v>Sophia Clark</v>
      </c>
      <c r="C73" s="4" t="str">
        <f aca="false">IFERROR(INDEX('Transactions Data'!$D$5:$D$281,MATCH(A73,'Transactions Data'!$B$5:$B$281,0)),"")</f>
        <v>Australia</v>
      </c>
      <c r="D73" s="7" t="n">
        <f aca="false">DATE(YEAR(_xlfn.MINIFS('Transactions Data'!$E$5:$E$281,'Transactions Data'!$B$5:$B$281,A73)),MONTH(_xlfn.MINIFS('Transactions Data'!$E$5:$E$281,'Transactions Data'!$B$5:$B$281,A73)),1)</f>
        <v>45323</v>
      </c>
      <c r="E73" s="5" t="n">
        <f aca="false">_xlfn.MAXIFS('Transactions Data'!$E$5:$E$281,'Transactions Data'!$B$5:$B$281,A73)</f>
        <v>45605</v>
      </c>
      <c r="F73" s="4" t="n">
        <f aca="false">$C$3-E73</f>
        <v>53</v>
      </c>
      <c r="G73" s="4" t="n">
        <f aca="false">COUNTIFS('Transactions Data'!$B$5:$B$281,A73)</f>
        <v>12</v>
      </c>
      <c r="H73" s="6" t="n">
        <f aca="false">SUMIFS('Transactions Data'!$F$5:$F$281,'Transactions Data'!$B$5:$B$281,A73)</f>
        <v>1333.27</v>
      </c>
      <c r="I73" s="4" t="n">
        <f aca="false">IF(F73&lt;=PERCENTILE($F$6:$F$75,0.2),5,IF(F73&lt;=PERCENTILE($F$6:$F$75,0.4),4,IF(F73&lt;=PERCENTILE($F$6:$F$75,0.6),3,IF(F73&lt;=PERCENTILE($F$6:$F$75,0.8),2,1))))</f>
        <v>5</v>
      </c>
      <c r="J73" s="4" t="n">
        <f aca="false">IF(G73&gt;=PERCENTILE($G$6:$G$75,0.8),5,IF(G73&gt;=PERCENTILE($G$6:$G$75,0.6),4,IF(G73&gt;=PERCENTILE($G$6:$G$75,0.4),3,IF(G73&gt;=PERCENTILE($G$6:$G$75,0.2),2,1))))</f>
        <v>5</v>
      </c>
      <c r="K73" s="4" t="n">
        <f aca="false">IF(H73&gt;=PERCENTILE($H$6:$H$75,0.8),5,IF(H73&gt;=PERCENTILE($H$6:$H$75,0.6),4,IF(H73&gt;=PERCENTILE($H$6:$H$75,0.4),3,IF(H73&gt;=PERCENTILE($H$6:$H$75,0.2),2,1))))</f>
        <v>5</v>
      </c>
      <c r="L73" s="10" t="str">
        <f aca="false">IF(AND(I73&gt;=4,J73&gt;=4),"Champions",IF(AND(I73&gt;=3,J73&gt;=4),"Loyal Customers",IF(AND(I73&gt;=4,J73&lt;=3),"Potential Loyalist",IF(AND(I73&lt;=2,J73&gt;=3),"At Risk",IF(AND(I73&lt;=2,J73&lt;=2),"Lost","Need Attention")))))</f>
        <v>Champions</v>
      </c>
    </row>
    <row r="74" customFormat="false" ht="15" hidden="false" customHeight="false" outlineLevel="0" collapsed="false">
      <c r="A74" s="4" t="s">
        <v>115</v>
      </c>
      <c r="B74" s="4" t="str">
        <f aca="false">IFERROR(INDEX('Transactions Data'!$C$5:$C$281,MATCH(A74,'Transactions Data'!$B$5:$B$281,0)),"")</f>
        <v>Owen Taylor</v>
      </c>
      <c r="C74" s="4" t="str">
        <f aca="false">IFERROR(INDEX('Transactions Data'!$D$5:$D$281,MATCH(A74,'Transactions Data'!$B$5:$B$281,0)),"")</f>
        <v>United Kingdom</v>
      </c>
      <c r="D74" s="7" t="n">
        <f aca="false">DATE(YEAR(_xlfn.MINIFS('Transactions Data'!$E$5:$E$281,'Transactions Data'!$B$5:$B$281,A74)),MONTH(_xlfn.MINIFS('Transactions Data'!$E$5:$E$281,'Transactions Data'!$B$5:$B$281,A74)),1)</f>
        <v>45444</v>
      </c>
      <c r="E74" s="5" t="n">
        <f aca="false">_xlfn.MAXIFS('Transactions Data'!$E$5:$E$281,'Transactions Data'!$B$5:$B$281,A74)</f>
        <v>45632</v>
      </c>
      <c r="F74" s="4" t="n">
        <f aca="false">$C$3-E74</f>
        <v>26</v>
      </c>
      <c r="G74" s="4" t="n">
        <f aca="false">COUNTIFS('Transactions Data'!$B$5:$B$281,A74)</f>
        <v>11</v>
      </c>
      <c r="H74" s="6" t="n">
        <f aca="false">SUMIFS('Transactions Data'!$F$5:$F$281,'Transactions Data'!$B$5:$B$281,A74)</f>
        <v>1232.08</v>
      </c>
      <c r="I74" s="4" t="n">
        <f aca="false">IF(F74&lt;=PERCENTILE($F$6:$F$75,0.2),5,IF(F74&lt;=PERCENTILE($F$6:$F$75,0.4),4,IF(F74&lt;=PERCENTILE($F$6:$F$75,0.6),3,IF(F74&lt;=PERCENTILE($F$6:$F$75,0.8),2,1))))</f>
        <v>5</v>
      </c>
      <c r="J74" s="4" t="n">
        <f aca="false">IF(G74&gt;=PERCENTILE($G$6:$G$75,0.8),5,IF(G74&gt;=PERCENTILE($G$6:$G$75,0.6),4,IF(G74&gt;=PERCENTILE($G$6:$G$75,0.4),3,IF(G74&gt;=PERCENTILE($G$6:$G$75,0.2),2,1))))</f>
        <v>5</v>
      </c>
      <c r="K74" s="4" t="n">
        <f aca="false">IF(H74&gt;=PERCENTILE($H$6:$H$75,0.8),5,IF(H74&gt;=PERCENTILE($H$6:$H$75,0.6),4,IF(H74&gt;=PERCENTILE($H$6:$H$75,0.4),3,IF(H74&gt;=PERCENTILE($H$6:$H$75,0.2),2,1))))</f>
        <v>5</v>
      </c>
      <c r="L74" s="10" t="str">
        <f aca="false">IF(AND(I74&gt;=4,J74&gt;=4),"Champions",IF(AND(I74&gt;=3,J74&gt;=4),"Loyal Customers",IF(AND(I74&gt;=4,J74&lt;=3),"Potential Loyalist",IF(AND(I74&lt;=2,J74&gt;=3),"At Risk",IF(AND(I74&lt;=2,J74&lt;=2),"Lost","Need Attention")))))</f>
        <v>Champions</v>
      </c>
    </row>
    <row r="75" customFormat="false" ht="15" hidden="false" customHeight="false" outlineLevel="0" collapsed="false">
      <c r="A75" s="4" t="s">
        <v>37</v>
      </c>
      <c r="B75" s="4" t="str">
        <f aca="false">IFERROR(INDEX('Transactions Data'!$C$5:$C$281,MATCH(A75,'Transactions Data'!$B$5:$B$281,0)),"")</f>
        <v>Grace Scott</v>
      </c>
      <c r="C75" s="4" t="str">
        <f aca="false">IFERROR(INDEX('Transactions Data'!$D$5:$D$281,MATCH(A75,'Transactions Data'!$B$5:$B$281,0)),"")</f>
        <v>United Kingdom</v>
      </c>
      <c r="D75" s="7" t="n">
        <f aca="false">DATE(YEAR(_xlfn.MINIFS('Transactions Data'!$E$5:$E$281,'Transactions Data'!$B$5:$B$281,A75)),MONTH(_xlfn.MINIFS('Transactions Data'!$E$5:$E$281,'Transactions Data'!$B$5:$B$281,A75)),1)</f>
        <v>45323</v>
      </c>
      <c r="E75" s="5" t="n">
        <f aca="false">_xlfn.MAXIFS('Transactions Data'!$E$5:$E$281,'Transactions Data'!$B$5:$B$281,A75)</f>
        <v>45353</v>
      </c>
      <c r="F75" s="4" t="n">
        <f aca="false">$C$3-E75</f>
        <v>305</v>
      </c>
      <c r="G75" s="4" t="n">
        <f aca="false">COUNTIFS('Transactions Data'!$B$5:$B$281,A75)</f>
        <v>2</v>
      </c>
      <c r="H75" s="6" t="n">
        <f aca="false">SUMIFS('Transactions Data'!$F$5:$F$281,'Transactions Data'!$B$5:$B$281,A75)</f>
        <v>129.07</v>
      </c>
      <c r="I75" s="4" t="n">
        <f aca="false">IF(F75&lt;=PERCENTILE($F$6:$F$75,0.2),5,IF(F75&lt;=PERCENTILE($F$6:$F$75,0.4),4,IF(F75&lt;=PERCENTILE($F$6:$F$75,0.6),3,IF(F75&lt;=PERCENTILE($F$6:$F$75,0.8),2,1))))</f>
        <v>1</v>
      </c>
      <c r="J75" s="4" t="n">
        <f aca="false">IF(G75&gt;=PERCENTILE($G$6:$G$75,0.8),5,IF(G75&gt;=PERCENTILE($G$6:$G$75,0.6),4,IF(G75&gt;=PERCENTILE($G$6:$G$75,0.4),3,IF(G75&gt;=PERCENTILE($G$6:$G$75,0.2),2,1))))</f>
        <v>3</v>
      </c>
      <c r="K75" s="4" t="n">
        <f aca="false">IF(H75&gt;=PERCENTILE($H$6:$H$75,0.8),5,IF(H75&gt;=PERCENTILE($H$6:$H$75,0.6),4,IF(H75&gt;=PERCENTILE($H$6:$H$75,0.4),3,IF(H75&gt;=PERCENTILE($H$6:$H$75,0.2),2,1))))</f>
        <v>2</v>
      </c>
      <c r="L75" s="10" t="str">
        <f aca="false">IF(AND(I75&gt;=4,J75&gt;=4),"Champions",IF(AND(I75&gt;=3,J75&gt;=4),"Loyal Customers",IF(AND(I75&gt;=4,J75&lt;=3),"Potential Loyalist",IF(AND(I75&lt;=2,J75&gt;=3),"At Risk",IF(AND(I75&lt;=2,J75&lt;=2),"Lost","Need Attention")))))</f>
        <v>At Risk</v>
      </c>
    </row>
  </sheetData>
  <mergeCells count="1"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9" min="2" style="0" width="32"/>
  </cols>
  <sheetData>
    <row r="1" customFormat="false" ht="19.7" hidden="false" customHeight="false" outlineLevel="0" collapsed="false">
      <c r="A1" s="1" t="s">
        <v>166</v>
      </c>
    </row>
    <row r="2" customFormat="false" ht="15" hidden="false" customHeight="false" outlineLevel="0" collapsed="false">
      <c r="A2" s="2" t="s">
        <v>167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168</v>
      </c>
      <c r="B4" s="3" t="s">
        <v>169</v>
      </c>
      <c r="C4" s="3" t="s">
        <v>170</v>
      </c>
      <c r="D4" s="3" t="s">
        <v>171</v>
      </c>
      <c r="E4" s="3" t="s">
        <v>172</v>
      </c>
      <c r="F4" s="3" t="s">
        <v>173</v>
      </c>
      <c r="G4" s="3" t="s">
        <v>174</v>
      </c>
      <c r="H4" s="3" t="s">
        <v>175</v>
      </c>
      <c r="I4" s="3" t="s">
        <v>176</v>
      </c>
    </row>
    <row r="5" customFormat="false" ht="15" hidden="false" customHeight="false" outlineLevel="0" collapsed="false">
      <c r="A5" s="11" t="n">
        <f aca="false">DATE(2024,1,1)</f>
        <v>45292</v>
      </c>
      <c r="B5" s="10" t="n">
        <f aca="false">COUNTIFS('RFM Analysis'!$D$6:$D$75,A5)</f>
        <v>9</v>
      </c>
      <c r="C5" s="12" t="n">
        <f aca="false">IF($B5=0,"",IFERROR(SUMPRODUCT(('Transactions Data'!$G$5:$G$281=$A5)*('Transactions Data'!$H$5:$H$281=0)/COUNTIFS('Transactions Data'!$B$5:$B$281,'Transactions Data'!$B$5:$B$281,'Transactions Data'!$G$5:$G$281,'Transactions Data'!$G$5:$G$281,'Transactions Data'!$H$5:$H$281,'Transactions Data'!$H$5:$H$281)),0)/$B5)</f>
        <v>1</v>
      </c>
      <c r="D5" s="12" t="n">
        <f aca="false">IF($B5=0,"",IFERROR(SUMPRODUCT(('Transactions Data'!$G$5:$G$281=$A5)*('Transactions Data'!$H$5:$H$281=1)/COUNTIFS('Transactions Data'!$B$5:$B$281,'Transactions Data'!$B$5:$B$281,'Transactions Data'!$G$5:$G$281,'Transactions Data'!$G$5:$G$281,'Transactions Data'!$H$5:$H$281,'Transactions Data'!$H$5:$H$281)),0)/$B5)</f>
        <v>0.444444444444444</v>
      </c>
      <c r="E5" s="12" t="n">
        <f aca="false">IF($B5=0,"",IFERROR(SUMPRODUCT(('Transactions Data'!$G$5:$G$281=$A5)*('Transactions Data'!$H$5:$H$281=2)/COUNTIFS('Transactions Data'!$B$5:$B$281,'Transactions Data'!$B$5:$B$281,'Transactions Data'!$G$5:$G$281,'Transactions Data'!$G$5:$G$281,'Transactions Data'!$H$5:$H$281,'Transactions Data'!$H$5:$H$281)),0)/$B5)</f>
        <v>0.444444444444444</v>
      </c>
      <c r="F5" s="12" t="n">
        <f aca="false">IF($B5=0,"",IFERROR(SUMPRODUCT(('Transactions Data'!$G$5:$G$281=$A5)*('Transactions Data'!$H$5:$H$281=3)/COUNTIFS('Transactions Data'!$B$5:$B$281,'Transactions Data'!$B$5:$B$281,'Transactions Data'!$G$5:$G$281,'Transactions Data'!$G$5:$G$281,'Transactions Data'!$H$5:$H$281,'Transactions Data'!$H$5:$H$281)),0)/$B5)</f>
        <v>0.333333333333333</v>
      </c>
      <c r="G5" s="12" t="n">
        <f aca="false">IF($B5=0,"",IFERROR(SUMPRODUCT(('Transactions Data'!$G$5:$G$281=$A5)*('Transactions Data'!$H$5:$H$281=4)/COUNTIFS('Transactions Data'!$B$5:$B$281,'Transactions Data'!$B$5:$B$281,'Transactions Data'!$G$5:$G$281,'Transactions Data'!$G$5:$G$281,'Transactions Data'!$H$5:$H$281,'Transactions Data'!$H$5:$H$281)),0)/$B5)</f>
        <v>0.222222222222222</v>
      </c>
      <c r="H5" s="12" t="n">
        <f aca="false">IF($B5=0,"",IFERROR(SUMPRODUCT(('Transactions Data'!$G$5:$G$281=$A5)*('Transactions Data'!$H$5:$H$281=5)/COUNTIFS('Transactions Data'!$B$5:$B$281,'Transactions Data'!$B$5:$B$281,'Transactions Data'!$G$5:$G$281,'Transactions Data'!$G$5:$G$281,'Transactions Data'!$H$5:$H$281,'Transactions Data'!$H$5:$H$281)),0)/$B5)</f>
        <v>0</v>
      </c>
      <c r="I5" s="12" t="n">
        <f aca="false">IF($B5=0,"",IFERROR(SUMPRODUCT(('Transactions Data'!$G$5:$G$281=$A5)*('Transactions Data'!$H$5:$H$281=6)/COUNTIFS('Transactions Data'!$B$5:$B$281,'Transactions Data'!$B$5:$B$281,'Transactions Data'!$G$5:$G$281,'Transactions Data'!$G$5:$G$281,'Transactions Data'!$H$5:$H$281,'Transactions Data'!$H$5:$H$281)),0)/$B5)</f>
        <v>0</v>
      </c>
    </row>
    <row r="6" customFormat="false" ht="15" hidden="false" customHeight="false" outlineLevel="0" collapsed="false">
      <c r="A6" s="11" t="n">
        <f aca="false">DATE(2024,2,1)</f>
        <v>45323</v>
      </c>
      <c r="B6" s="10" t="n">
        <f aca="false">COUNTIFS('RFM Analysis'!$D$6:$D$75,A6)</f>
        <v>10</v>
      </c>
      <c r="C6" s="12" t="n">
        <f aca="false">IF($B6=0,"",IFERROR(SUMPRODUCT(('Transactions Data'!$G$5:$G$281=$A6)*('Transactions Data'!$H$5:$H$281=0)/COUNTIFS('Transactions Data'!$B$5:$B$281,'Transactions Data'!$B$5:$B$281,'Transactions Data'!$G$5:$G$281,'Transactions Data'!$G$5:$G$281,'Transactions Data'!$H$5:$H$281,'Transactions Data'!$H$5:$H$281)),0)/$B6)</f>
        <v>1</v>
      </c>
      <c r="D6" s="12" t="n">
        <f aca="false">IF($B6=0,"",IFERROR(SUMPRODUCT(('Transactions Data'!$G$5:$G$281=$A6)*('Transactions Data'!$H$5:$H$281=1)/COUNTIFS('Transactions Data'!$B$5:$B$281,'Transactions Data'!$B$5:$B$281,'Transactions Data'!$G$5:$G$281,'Transactions Data'!$G$5:$G$281,'Transactions Data'!$H$5:$H$281,'Transactions Data'!$H$5:$H$281)),0)/$B6)</f>
        <v>0.7</v>
      </c>
      <c r="E6" s="12" t="n">
        <f aca="false">IF($B6=0,"",IFERROR(SUMPRODUCT(('Transactions Data'!$G$5:$G$281=$A6)*('Transactions Data'!$H$5:$H$281=2)/COUNTIFS('Transactions Data'!$B$5:$B$281,'Transactions Data'!$B$5:$B$281,'Transactions Data'!$G$5:$G$281,'Transactions Data'!$G$5:$G$281,'Transactions Data'!$H$5:$H$281,'Transactions Data'!$H$5:$H$281)),0)/$B6)</f>
        <v>0.4</v>
      </c>
      <c r="F6" s="12" t="n">
        <f aca="false">IF($B6=0,"",IFERROR(SUMPRODUCT(('Transactions Data'!$G$5:$G$281=$A6)*('Transactions Data'!$H$5:$H$281=3)/COUNTIFS('Transactions Data'!$B$5:$B$281,'Transactions Data'!$B$5:$B$281,'Transactions Data'!$G$5:$G$281,'Transactions Data'!$G$5:$G$281,'Transactions Data'!$H$5:$H$281,'Transactions Data'!$H$5:$H$281)),0)/$B6)</f>
        <v>0.2</v>
      </c>
      <c r="G6" s="12" t="n">
        <f aca="false">IF($B6=0,"",IFERROR(SUMPRODUCT(('Transactions Data'!$G$5:$G$281=$A6)*('Transactions Data'!$H$5:$H$281=4)/COUNTIFS('Transactions Data'!$B$5:$B$281,'Transactions Data'!$B$5:$B$281,'Transactions Data'!$G$5:$G$281,'Transactions Data'!$G$5:$G$281,'Transactions Data'!$H$5:$H$281,'Transactions Data'!$H$5:$H$281)),0)/$B6)</f>
        <v>0.2</v>
      </c>
      <c r="H6" s="12" t="n">
        <f aca="false">IF($B6=0,"",IFERROR(SUMPRODUCT(('Transactions Data'!$G$5:$G$281=$A6)*('Transactions Data'!$H$5:$H$281=5)/COUNTIFS('Transactions Data'!$B$5:$B$281,'Transactions Data'!$B$5:$B$281,'Transactions Data'!$G$5:$G$281,'Transactions Data'!$G$5:$G$281,'Transactions Data'!$H$5:$H$281,'Transactions Data'!$H$5:$H$281)),0)/$B6)</f>
        <v>0.2</v>
      </c>
      <c r="I6" s="12" t="n">
        <f aca="false">IF($B6=0,"",IFERROR(SUMPRODUCT(('Transactions Data'!$G$5:$G$281=$A6)*('Transactions Data'!$H$5:$H$281=6)/COUNTIFS('Transactions Data'!$B$5:$B$281,'Transactions Data'!$B$5:$B$281,'Transactions Data'!$G$5:$G$281,'Transactions Data'!$G$5:$G$281,'Transactions Data'!$H$5:$H$281,'Transactions Data'!$H$5:$H$281)),0)/$B6)</f>
        <v>0.2</v>
      </c>
    </row>
    <row r="7" customFormat="false" ht="15" hidden="false" customHeight="false" outlineLevel="0" collapsed="false">
      <c r="A7" s="11" t="n">
        <f aca="false">DATE(2024,3,1)</f>
        <v>45352</v>
      </c>
      <c r="B7" s="10" t="n">
        <f aca="false">COUNTIFS('RFM Analysis'!$D$6:$D$75,A7)</f>
        <v>8</v>
      </c>
      <c r="C7" s="12" t="n">
        <f aca="false">IF($B7=0,"",IFERROR(SUMPRODUCT(('Transactions Data'!$G$5:$G$281=$A7)*('Transactions Data'!$H$5:$H$281=0)/COUNTIFS('Transactions Data'!$B$5:$B$281,'Transactions Data'!$B$5:$B$281,'Transactions Data'!$G$5:$G$281,'Transactions Data'!$G$5:$G$281,'Transactions Data'!$H$5:$H$281,'Transactions Data'!$H$5:$H$281)),0)/$B7)</f>
        <v>1</v>
      </c>
      <c r="D7" s="12" t="n">
        <f aca="false">IF($B7=0,"",IFERROR(SUMPRODUCT(('Transactions Data'!$G$5:$G$281=$A7)*('Transactions Data'!$H$5:$H$281=1)/COUNTIFS('Transactions Data'!$B$5:$B$281,'Transactions Data'!$B$5:$B$281,'Transactions Data'!$G$5:$G$281,'Transactions Data'!$G$5:$G$281,'Transactions Data'!$H$5:$H$281,'Transactions Data'!$H$5:$H$281)),0)/$B7)</f>
        <v>0.75</v>
      </c>
      <c r="E7" s="12" t="n">
        <f aca="false">IF($B7=0,"",IFERROR(SUMPRODUCT(('Transactions Data'!$G$5:$G$281=$A7)*('Transactions Data'!$H$5:$H$281=2)/COUNTIFS('Transactions Data'!$B$5:$B$281,'Transactions Data'!$B$5:$B$281,'Transactions Data'!$G$5:$G$281,'Transactions Data'!$G$5:$G$281,'Transactions Data'!$H$5:$H$281,'Transactions Data'!$H$5:$H$281)),0)/$B7)</f>
        <v>0.375</v>
      </c>
      <c r="F7" s="12" t="n">
        <f aca="false">IF($B7=0,"",IFERROR(SUMPRODUCT(('Transactions Data'!$G$5:$G$281=$A7)*('Transactions Data'!$H$5:$H$281=3)/COUNTIFS('Transactions Data'!$B$5:$B$281,'Transactions Data'!$B$5:$B$281,'Transactions Data'!$G$5:$G$281,'Transactions Data'!$G$5:$G$281,'Transactions Data'!$H$5:$H$281,'Transactions Data'!$H$5:$H$281)),0)/$B7)</f>
        <v>0.25</v>
      </c>
      <c r="G7" s="12" t="n">
        <f aca="false">IF($B7=0,"",IFERROR(SUMPRODUCT(('Transactions Data'!$G$5:$G$281=$A7)*('Transactions Data'!$H$5:$H$281=4)/COUNTIFS('Transactions Data'!$B$5:$B$281,'Transactions Data'!$B$5:$B$281,'Transactions Data'!$G$5:$G$281,'Transactions Data'!$G$5:$G$281,'Transactions Data'!$H$5:$H$281,'Transactions Data'!$H$5:$H$281)),0)/$B7)</f>
        <v>0.25</v>
      </c>
      <c r="H7" s="12" t="n">
        <f aca="false">IF($B7=0,"",IFERROR(SUMPRODUCT(('Transactions Data'!$G$5:$G$281=$A7)*('Transactions Data'!$H$5:$H$281=5)/COUNTIFS('Transactions Data'!$B$5:$B$281,'Transactions Data'!$B$5:$B$281,'Transactions Data'!$G$5:$G$281,'Transactions Data'!$G$5:$G$281,'Transactions Data'!$H$5:$H$281,'Transactions Data'!$H$5:$H$281)),0)/$B7)</f>
        <v>0.25</v>
      </c>
      <c r="I7" s="12" t="n">
        <f aca="false">IF($B7=0,"",IFERROR(SUMPRODUCT(('Transactions Data'!$G$5:$G$281=$A7)*('Transactions Data'!$H$5:$H$281=6)/COUNTIFS('Transactions Data'!$B$5:$B$281,'Transactions Data'!$B$5:$B$281,'Transactions Data'!$G$5:$G$281,'Transactions Data'!$G$5:$G$281,'Transactions Data'!$H$5:$H$281,'Transactions Data'!$H$5:$H$281)),0)/$B7)</f>
        <v>0.25</v>
      </c>
    </row>
    <row r="8" customFormat="false" ht="15" hidden="false" customHeight="false" outlineLevel="0" collapsed="false">
      <c r="A8" s="11" t="n">
        <f aca="false">DATE(2024,4,1)</f>
        <v>45383</v>
      </c>
      <c r="B8" s="10" t="n">
        <f aca="false">COUNTIFS('RFM Analysis'!$D$6:$D$75,A8)</f>
        <v>7</v>
      </c>
      <c r="C8" s="12" t="n">
        <f aca="false">IF($B8=0,"",IFERROR(SUMPRODUCT(('Transactions Data'!$G$5:$G$281=$A8)*('Transactions Data'!$H$5:$H$281=0)/COUNTIFS('Transactions Data'!$B$5:$B$281,'Transactions Data'!$B$5:$B$281,'Transactions Data'!$G$5:$G$281,'Transactions Data'!$G$5:$G$281,'Transactions Data'!$H$5:$H$281,'Transactions Data'!$H$5:$H$281)),0)/$B8)</f>
        <v>1</v>
      </c>
      <c r="D8" s="12" t="n">
        <f aca="false">IF($B8=0,"",IFERROR(SUMPRODUCT(('Transactions Data'!$G$5:$G$281=$A8)*('Transactions Data'!$H$5:$H$281=1)/COUNTIFS('Transactions Data'!$B$5:$B$281,'Transactions Data'!$B$5:$B$281,'Transactions Data'!$G$5:$G$281,'Transactions Data'!$G$5:$G$281,'Transactions Data'!$H$5:$H$281,'Transactions Data'!$H$5:$H$281)),0)/$B8)</f>
        <v>0.571428571428571</v>
      </c>
      <c r="E8" s="12" t="n">
        <f aca="false">IF($B8=0,"",IFERROR(SUMPRODUCT(('Transactions Data'!$G$5:$G$281=$A8)*('Transactions Data'!$H$5:$H$281=2)/COUNTIFS('Transactions Data'!$B$5:$B$281,'Transactions Data'!$B$5:$B$281,'Transactions Data'!$G$5:$G$281,'Transactions Data'!$G$5:$G$281,'Transactions Data'!$H$5:$H$281,'Transactions Data'!$H$5:$H$281)),0)/$B8)</f>
        <v>0.428571428571429</v>
      </c>
      <c r="F8" s="12" t="n">
        <f aca="false">IF($B8=0,"",IFERROR(SUMPRODUCT(('Transactions Data'!$G$5:$G$281=$A8)*('Transactions Data'!$H$5:$H$281=3)/COUNTIFS('Transactions Data'!$B$5:$B$281,'Transactions Data'!$B$5:$B$281,'Transactions Data'!$G$5:$G$281,'Transactions Data'!$G$5:$G$281,'Transactions Data'!$H$5:$H$281,'Transactions Data'!$H$5:$H$281)),0)/$B8)</f>
        <v>0.285714285714286</v>
      </c>
      <c r="G8" s="12" t="n">
        <f aca="false">IF($B8=0,"",IFERROR(SUMPRODUCT(('Transactions Data'!$G$5:$G$281=$A8)*('Transactions Data'!$H$5:$H$281=4)/COUNTIFS('Transactions Data'!$B$5:$B$281,'Transactions Data'!$B$5:$B$281,'Transactions Data'!$G$5:$G$281,'Transactions Data'!$G$5:$G$281,'Transactions Data'!$H$5:$H$281,'Transactions Data'!$H$5:$H$281)),0)/$B8)</f>
        <v>0.285714285714286</v>
      </c>
      <c r="H8" s="12" t="n">
        <f aca="false">IF($B8=0,"",IFERROR(SUMPRODUCT(('Transactions Data'!$G$5:$G$281=$A8)*('Transactions Data'!$H$5:$H$281=5)/COUNTIFS('Transactions Data'!$B$5:$B$281,'Transactions Data'!$B$5:$B$281,'Transactions Data'!$G$5:$G$281,'Transactions Data'!$G$5:$G$281,'Transactions Data'!$H$5:$H$281,'Transactions Data'!$H$5:$H$281)),0)/$B8)</f>
        <v>0.285714285714286</v>
      </c>
      <c r="I8" s="12" t="n">
        <f aca="false">IF($B8=0,"",IFERROR(SUMPRODUCT(('Transactions Data'!$G$5:$G$281=$A8)*('Transactions Data'!$H$5:$H$281=6)/COUNTIFS('Transactions Data'!$B$5:$B$281,'Transactions Data'!$B$5:$B$281,'Transactions Data'!$G$5:$G$281,'Transactions Data'!$G$5:$G$281,'Transactions Data'!$H$5:$H$281,'Transactions Data'!$H$5:$H$281)),0)/$B8)</f>
        <v>0.142857142857143</v>
      </c>
    </row>
    <row r="9" customFormat="false" ht="15" hidden="false" customHeight="false" outlineLevel="0" collapsed="false">
      <c r="A9" s="11" t="n">
        <f aca="false">DATE(2024,5,1)</f>
        <v>45413</v>
      </c>
      <c r="B9" s="10" t="n">
        <f aca="false">COUNTIFS('RFM Analysis'!$D$6:$D$75,A9)</f>
        <v>6</v>
      </c>
      <c r="C9" s="12" t="n">
        <f aca="false">IF($B9=0,"",IFERROR(SUMPRODUCT(('Transactions Data'!$G$5:$G$281=$A9)*('Transactions Data'!$H$5:$H$281=0)/COUNTIFS('Transactions Data'!$B$5:$B$281,'Transactions Data'!$B$5:$B$281,'Transactions Data'!$G$5:$G$281,'Transactions Data'!$G$5:$G$281,'Transactions Data'!$H$5:$H$281,'Transactions Data'!$H$5:$H$281)),0)/$B9)</f>
        <v>1</v>
      </c>
      <c r="D9" s="12" t="n">
        <f aca="false">IF($B9=0,"",IFERROR(SUMPRODUCT(('Transactions Data'!$G$5:$G$281=$A9)*('Transactions Data'!$H$5:$H$281=1)/COUNTIFS('Transactions Data'!$B$5:$B$281,'Transactions Data'!$B$5:$B$281,'Transactions Data'!$G$5:$G$281,'Transactions Data'!$G$5:$G$281,'Transactions Data'!$H$5:$H$281,'Transactions Data'!$H$5:$H$281)),0)/$B9)</f>
        <v>0.666666666666667</v>
      </c>
      <c r="E9" s="12" t="n">
        <f aca="false">IF($B9=0,"",IFERROR(SUMPRODUCT(('Transactions Data'!$G$5:$G$281=$A9)*('Transactions Data'!$H$5:$H$281=2)/COUNTIFS('Transactions Data'!$B$5:$B$281,'Transactions Data'!$B$5:$B$281,'Transactions Data'!$G$5:$G$281,'Transactions Data'!$G$5:$G$281,'Transactions Data'!$H$5:$H$281,'Transactions Data'!$H$5:$H$281)),0)/$B9)</f>
        <v>0.333333333333333</v>
      </c>
      <c r="F9" s="12" t="n">
        <f aca="false">IF($B9=0,"",IFERROR(SUMPRODUCT(('Transactions Data'!$G$5:$G$281=$A9)*('Transactions Data'!$H$5:$H$281=3)/COUNTIFS('Transactions Data'!$B$5:$B$281,'Transactions Data'!$B$5:$B$281,'Transactions Data'!$G$5:$G$281,'Transactions Data'!$G$5:$G$281,'Transactions Data'!$H$5:$H$281,'Transactions Data'!$H$5:$H$281)),0)/$B9)</f>
        <v>0.333333333333333</v>
      </c>
      <c r="G9" s="12" t="n">
        <f aca="false">IF($B9=0,"",IFERROR(SUMPRODUCT(('Transactions Data'!$G$5:$G$281=$A9)*('Transactions Data'!$H$5:$H$281=4)/COUNTIFS('Transactions Data'!$B$5:$B$281,'Transactions Data'!$B$5:$B$281,'Transactions Data'!$G$5:$G$281,'Transactions Data'!$G$5:$G$281,'Transactions Data'!$H$5:$H$281,'Transactions Data'!$H$5:$H$281)),0)/$B9)</f>
        <v>0.333333333333333</v>
      </c>
      <c r="H9" s="12" t="n">
        <f aca="false">IF($B9=0,"",IFERROR(SUMPRODUCT(('Transactions Data'!$G$5:$G$281=$A9)*('Transactions Data'!$H$5:$H$281=5)/COUNTIFS('Transactions Data'!$B$5:$B$281,'Transactions Data'!$B$5:$B$281,'Transactions Data'!$G$5:$G$281,'Transactions Data'!$G$5:$G$281,'Transactions Data'!$H$5:$H$281,'Transactions Data'!$H$5:$H$281)),0)/$B9)</f>
        <v>0.166666666666667</v>
      </c>
      <c r="I9" s="12" t="n">
        <f aca="false">IF($B9=0,"",IFERROR(SUMPRODUCT(('Transactions Data'!$G$5:$G$281=$A9)*('Transactions Data'!$H$5:$H$281=6)/COUNTIFS('Transactions Data'!$B$5:$B$281,'Transactions Data'!$B$5:$B$281,'Transactions Data'!$G$5:$G$281,'Transactions Data'!$G$5:$G$281,'Transactions Data'!$H$5:$H$281,'Transactions Data'!$H$5:$H$281)),0)/$B9)</f>
        <v>0.166666666666667</v>
      </c>
    </row>
    <row r="10" customFormat="false" ht="15" hidden="false" customHeight="false" outlineLevel="0" collapsed="false">
      <c r="A10" s="11" t="n">
        <f aca="false">DATE(2024,6,1)</f>
        <v>45444</v>
      </c>
      <c r="B10" s="10" t="n">
        <f aca="false">COUNTIFS('RFM Analysis'!$D$6:$D$75,A10)</f>
        <v>13</v>
      </c>
      <c r="C10" s="12" t="n">
        <f aca="false">IF($B10=0,"",IFERROR(SUMPRODUCT(('Transactions Data'!$G$5:$G$281=$A10)*('Transactions Data'!$H$5:$H$281=0)/COUNTIFS('Transactions Data'!$B$5:$B$281,'Transactions Data'!$B$5:$B$281,'Transactions Data'!$G$5:$G$281,'Transactions Data'!$G$5:$G$281,'Transactions Data'!$H$5:$H$281,'Transactions Data'!$H$5:$H$281)),0)/$B10)</f>
        <v>1</v>
      </c>
      <c r="D10" s="12" t="n">
        <f aca="false">IF($B10=0,"",IFERROR(SUMPRODUCT(('Transactions Data'!$G$5:$G$281=$A10)*('Transactions Data'!$H$5:$H$281=1)/COUNTIFS('Transactions Data'!$B$5:$B$281,'Transactions Data'!$B$5:$B$281,'Transactions Data'!$G$5:$G$281,'Transactions Data'!$G$5:$G$281,'Transactions Data'!$H$5:$H$281,'Transactions Data'!$H$5:$H$281)),0)/$B10)</f>
        <v>0.538461538461538</v>
      </c>
      <c r="E10" s="12" t="n">
        <f aca="false">IF($B10=0,"",IFERROR(SUMPRODUCT(('Transactions Data'!$G$5:$G$281=$A10)*('Transactions Data'!$H$5:$H$281=2)/COUNTIFS('Transactions Data'!$B$5:$B$281,'Transactions Data'!$B$5:$B$281,'Transactions Data'!$G$5:$G$281,'Transactions Data'!$G$5:$G$281,'Transactions Data'!$H$5:$H$281,'Transactions Data'!$H$5:$H$281)),0)/$B10)</f>
        <v>0.384615384615385</v>
      </c>
      <c r="F10" s="12" t="n">
        <f aca="false">IF($B10=0,"",IFERROR(SUMPRODUCT(('Transactions Data'!$G$5:$G$281=$A10)*('Transactions Data'!$H$5:$H$281=3)/COUNTIFS('Transactions Data'!$B$5:$B$281,'Transactions Data'!$B$5:$B$281,'Transactions Data'!$G$5:$G$281,'Transactions Data'!$G$5:$G$281,'Transactions Data'!$H$5:$H$281,'Transactions Data'!$H$5:$H$281)),0)/$B10)</f>
        <v>0.307692307692308</v>
      </c>
      <c r="G10" s="12" t="n">
        <f aca="false">IF($B10=0,"",IFERROR(SUMPRODUCT(('Transactions Data'!$G$5:$G$281=$A10)*('Transactions Data'!$H$5:$H$281=4)/COUNTIFS('Transactions Data'!$B$5:$B$281,'Transactions Data'!$B$5:$B$281,'Transactions Data'!$G$5:$G$281,'Transactions Data'!$G$5:$G$281,'Transactions Data'!$H$5:$H$281,'Transactions Data'!$H$5:$H$281)),0)/$B10)</f>
        <v>0.307692307692308</v>
      </c>
      <c r="H10" s="12" t="n">
        <f aca="false">IF($B10=0,"",IFERROR(SUMPRODUCT(('Transactions Data'!$G$5:$G$281=$A10)*('Transactions Data'!$H$5:$H$281=5)/COUNTIFS('Transactions Data'!$B$5:$B$281,'Transactions Data'!$B$5:$B$281,'Transactions Data'!$G$5:$G$281,'Transactions Data'!$G$5:$G$281,'Transactions Data'!$H$5:$H$281,'Transactions Data'!$H$5:$H$281)),0)/$B10)</f>
        <v>0.307692307692308</v>
      </c>
      <c r="I10" s="12" t="n">
        <f aca="false">IF($B10=0,"",IFERROR(SUMPRODUCT(('Transactions Data'!$G$5:$G$281=$A10)*('Transactions Data'!$H$5:$H$281=6)/COUNTIFS('Transactions Data'!$B$5:$B$281,'Transactions Data'!$B$5:$B$281,'Transactions Data'!$G$5:$G$281,'Transactions Data'!$G$5:$G$281,'Transactions Data'!$H$5:$H$281,'Transactions Data'!$H$5:$H$281)),0)/$B10)</f>
        <v>0.307692307692308</v>
      </c>
    </row>
    <row r="11" customFormat="false" ht="15" hidden="false" customHeight="false" outlineLevel="0" collapsed="false">
      <c r="A11" s="11" t="n">
        <f aca="false">DATE(2024,7,1)</f>
        <v>45474</v>
      </c>
      <c r="B11" s="10" t="n">
        <f aca="false">COUNTIFS('RFM Analysis'!$D$6:$D$75,A11)</f>
        <v>8</v>
      </c>
      <c r="C11" s="12" t="n">
        <f aca="false">IF($B11=0,"",IFERROR(SUMPRODUCT(('Transactions Data'!$G$5:$G$281=$A11)*('Transactions Data'!$H$5:$H$281=0)/COUNTIFS('Transactions Data'!$B$5:$B$281,'Transactions Data'!$B$5:$B$281,'Transactions Data'!$G$5:$G$281,'Transactions Data'!$G$5:$G$281,'Transactions Data'!$H$5:$H$281,'Transactions Data'!$H$5:$H$281)),0)/$B11)</f>
        <v>1</v>
      </c>
      <c r="D11" s="12" t="n">
        <f aca="false">IF($B11=0,"",IFERROR(SUMPRODUCT(('Transactions Data'!$G$5:$G$281=$A11)*('Transactions Data'!$H$5:$H$281=1)/COUNTIFS('Transactions Data'!$B$5:$B$281,'Transactions Data'!$B$5:$B$281,'Transactions Data'!$G$5:$G$281,'Transactions Data'!$G$5:$G$281,'Transactions Data'!$H$5:$H$281,'Transactions Data'!$H$5:$H$281)),0)/$B11)</f>
        <v>0.125</v>
      </c>
      <c r="E11" s="12" t="n">
        <f aca="false">IF($B11=0,"",IFERROR(SUMPRODUCT(('Transactions Data'!$G$5:$G$281=$A11)*('Transactions Data'!$H$5:$H$281=2)/COUNTIFS('Transactions Data'!$B$5:$B$281,'Transactions Data'!$B$5:$B$281,'Transactions Data'!$G$5:$G$281,'Transactions Data'!$G$5:$G$281,'Transactions Data'!$H$5:$H$281,'Transactions Data'!$H$5:$H$281)),0)/$B11)</f>
        <v>0.125</v>
      </c>
      <c r="F11" s="12" t="n">
        <f aca="false">IF($B11=0,"",IFERROR(SUMPRODUCT(('Transactions Data'!$G$5:$G$281=$A11)*('Transactions Data'!$H$5:$H$281=3)/COUNTIFS('Transactions Data'!$B$5:$B$281,'Transactions Data'!$B$5:$B$281,'Transactions Data'!$G$5:$G$281,'Transactions Data'!$G$5:$G$281,'Transactions Data'!$H$5:$H$281,'Transactions Data'!$H$5:$H$281)),0)/$B11)</f>
        <v>0.125</v>
      </c>
      <c r="G11" s="12" t="n">
        <f aca="false">IF($B11=0,"",IFERROR(SUMPRODUCT(('Transactions Data'!$G$5:$G$281=$A11)*('Transactions Data'!$H$5:$H$281=4)/COUNTIFS('Transactions Data'!$B$5:$B$281,'Transactions Data'!$B$5:$B$281,'Transactions Data'!$G$5:$G$281,'Transactions Data'!$G$5:$G$281,'Transactions Data'!$H$5:$H$281,'Transactions Data'!$H$5:$H$281)),0)/$B11)</f>
        <v>0.125</v>
      </c>
      <c r="H11" s="12" t="n">
        <f aca="false">IF($B11=0,"",IFERROR(SUMPRODUCT(('Transactions Data'!$G$5:$G$281=$A11)*('Transactions Data'!$H$5:$H$281=5)/COUNTIFS('Transactions Data'!$B$5:$B$281,'Transactions Data'!$B$5:$B$281,'Transactions Data'!$G$5:$G$281,'Transactions Data'!$G$5:$G$281,'Transactions Data'!$H$5:$H$281,'Transactions Data'!$H$5:$H$281)),0)/$B11)</f>
        <v>0.125</v>
      </c>
      <c r="I11" s="12" t="n">
        <f aca="false">IF($B11=0,"",IFERROR(SUMPRODUCT(('Transactions Data'!$G$5:$G$281=$A11)*('Transactions Data'!$H$5:$H$281=6)/COUNTIFS('Transactions Data'!$B$5:$B$281,'Transactions Data'!$B$5:$B$281,'Transactions Data'!$G$5:$G$281,'Transactions Data'!$G$5:$G$281,'Transactions Data'!$H$5:$H$281,'Transactions Data'!$H$5:$H$281)),0)/$B11)</f>
        <v>0</v>
      </c>
    </row>
    <row r="12" customFormat="false" ht="15" hidden="false" customHeight="false" outlineLevel="0" collapsed="false">
      <c r="A12" s="11" t="n">
        <f aca="false">DATE(2024,8,1)</f>
        <v>45505</v>
      </c>
      <c r="B12" s="10" t="n">
        <f aca="false">COUNTIFS('RFM Analysis'!$D$6:$D$75,A12)</f>
        <v>9</v>
      </c>
      <c r="C12" s="12" t="n">
        <f aca="false">IF($B12=0,"",IFERROR(SUMPRODUCT(('Transactions Data'!$G$5:$G$281=$A12)*('Transactions Data'!$H$5:$H$281=0)/COUNTIFS('Transactions Data'!$B$5:$B$281,'Transactions Data'!$B$5:$B$281,'Transactions Data'!$G$5:$G$281,'Transactions Data'!$G$5:$G$281,'Transactions Data'!$H$5:$H$281,'Transactions Data'!$H$5:$H$281)),0)/$B12)</f>
        <v>1</v>
      </c>
      <c r="D12" s="12" t="n">
        <f aca="false">IF($B12=0,"",IFERROR(SUMPRODUCT(('Transactions Data'!$G$5:$G$281=$A12)*('Transactions Data'!$H$5:$H$281=1)/COUNTIFS('Transactions Data'!$B$5:$B$281,'Transactions Data'!$B$5:$B$281,'Transactions Data'!$G$5:$G$281,'Transactions Data'!$G$5:$G$281,'Transactions Data'!$H$5:$H$281,'Transactions Data'!$H$5:$H$281)),0)/$B12)</f>
        <v>0.444444444444444</v>
      </c>
      <c r="E12" s="12" t="n">
        <f aca="false">IF($B12=0,"",IFERROR(SUMPRODUCT(('Transactions Data'!$G$5:$G$281=$A12)*('Transactions Data'!$H$5:$H$281=2)/COUNTIFS('Transactions Data'!$B$5:$B$281,'Transactions Data'!$B$5:$B$281,'Transactions Data'!$G$5:$G$281,'Transactions Data'!$G$5:$G$281,'Transactions Data'!$H$5:$H$281,'Transactions Data'!$H$5:$H$281)),0)/$B12)</f>
        <v>0.333333333333333</v>
      </c>
      <c r="F12" s="12" t="n">
        <f aca="false">IF($B12=0,"",IFERROR(SUMPRODUCT(('Transactions Data'!$G$5:$G$281=$A12)*('Transactions Data'!$H$5:$H$281=3)/COUNTIFS('Transactions Data'!$B$5:$B$281,'Transactions Data'!$B$5:$B$281,'Transactions Data'!$G$5:$G$281,'Transactions Data'!$G$5:$G$281,'Transactions Data'!$H$5:$H$281,'Transactions Data'!$H$5:$H$281)),0)/$B12)</f>
        <v>0.222222222222222</v>
      </c>
      <c r="G12" s="12" t="n">
        <f aca="false">IF($B12=0,"",IFERROR(SUMPRODUCT(('Transactions Data'!$G$5:$G$281=$A12)*('Transactions Data'!$H$5:$H$281=4)/COUNTIFS('Transactions Data'!$B$5:$B$281,'Transactions Data'!$B$5:$B$281,'Transactions Data'!$G$5:$G$281,'Transactions Data'!$G$5:$G$281,'Transactions Data'!$H$5:$H$281,'Transactions Data'!$H$5:$H$281)),0)/$B12)</f>
        <v>0</v>
      </c>
      <c r="H12" s="12" t="n">
        <f aca="false">IF($B12=0,"",IFERROR(SUMPRODUCT(('Transactions Data'!$G$5:$G$281=$A12)*('Transactions Data'!$H$5:$H$281=5)/COUNTIFS('Transactions Data'!$B$5:$B$281,'Transactions Data'!$B$5:$B$281,'Transactions Data'!$G$5:$G$281,'Transactions Data'!$G$5:$G$281,'Transactions Data'!$H$5:$H$281,'Transactions Data'!$H$5:$H$281)),0)/$B12)</f>
        <v>0</v>
      </c>
      <c r="I12" s="12" t="n">
        <f aca="false">IF($B12=0,"",IFERROR(SUMPRODUCT(('Transactions Data'!$G$5:$G$281=$A12)*('Transactions Data'!$H$5:$H$281=6)/COUNTIFS('Transactions Data'!$B$5:$B$281,'Transactions Data'!$B$5:$B$281,'Transactions Data'!$G$5:$G$281,'Transactions Data'!$G$5:$G$281,'Transactions Data'!$H$5:$H$281,'Transactions Data'!$H$5:$H$281)),0)/$B12)</f>
        <v>0</v>
      </c>
    </row>
  </sheetData>
  <mergeCells count="1">
    <mergeCell ref="A2:J2"/>
  </mergeCells>
  <conditionalFormatting sqref="C5:I12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2"/>
    <col collapsed="false" customWidth="true" hidden="false" outlineLevel="0" max="4" min="4" style="0" width="13"/>
    <col collapsed="false" customWidth="true" hidden="false" outlineLevel="0" max="5" min="5" style="0" width="32"/>
    <col collapsed="false" customWidth="true" hidden="false" outlineLevel="0" max="6" min="6" style="0" width="13"/>
    <col collapsed="false" customWidth="true" hidden="false" outlineLevel="0" max="7" min="7" style="0" width="32"/>
    <col collapsed="false" customWidth="true" hidden="false" outlineLevel="0" max="8" min="8" style="0" width="13"/>
  </cols>
  <sheetData>
    <row r="1" customFormat="false" ht="19.7" hidden="false" customHeight="false" outlineLevel="0" collapsed="false">
      <c r="A1" s="1" t="s">
        <v>177</v>
      </c>
    </row>
    <row r="2" customFormat="false" ht="15" hidden="false" customHeight="false" outlineLevel="0" collapsed="false">
      <c r="A2" s="2" t="s">
        <v>178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13" t="s">
        <v>179</v>
      </c>
      <c r="B4" s="13"/>
      <c r="C4" s="13" t="s">
        <v>180</v>
      </c>
      <c r="D4" s="13"/>
      <c r="E4" s="13" t="s">
        <v>181</v>
      </c>
      <c r="F4" s="13"/>
      <c r="G4" s="13" t="s">
        <v>182</v>
      </c>
      <c r="H4" s="13"/>
      <c r="I4" s="13" t="s">
        <v>183</v>
      </c>
      <c r="J4" s="13"/>
    </row>
    <row r="5" customFormat="false" ht="16.15" hidden="false" customHeight="false" outlineLevel="0" collapsed="false">
      <c r="A5" s="14" t="n">
        <f aca="false">COUNTA('RFM Analysis'!$A$6:$A$75)</f>
        <v>70</v>
      </c>
      <c r="B5" s="14"/>
      <c r="C5" s="15" t="n">
        <f aca="false">SUM('RFM Analysis'!$H$6:$H$75)</f>
        <v>32655.96</v>
      </c>
      <c r="D5" s="15"/>
      <c r="E5" s="15" t="n">
        <f aca="false">SUM('RFM Analysis'!$H$6:$H$75)/COUNTA('RFM Analysis'!$A$6:$A$75)</f>
        <v>466.513714285714</v>
      </c>
      <c r="F5" s="15"/>
      <c r="G5" s="14" t="n">
        <f aca="false">COUNTIF('RFM Analysis'!$L$6:$L$75,"Champions")</f>
        <v>20</v>
      </c>
      <c r="H5" s="14"/>
      <c r="I5" s="14" t="n">
        <f aca="false">COUNTIF('RFM Analysis'!$L$6:$L$75,"At Risk")+COUNTIF('RFM Analysis'!$L$6:$L$75,"Lost")</f>
        <v>28</v>
      </c>
      <c r="J5" s="14"/>
    </row>
    <row r="8" customFormat="false" ht="15" hidden="false" customHeight="false" outlineLevel="0" collapsed="false">
      <c r="A8" s="16" t="s">
        <v>184</v>
      </c>
      <c r="D8" s="16" t="s">
        <v>185</v>
      </c>
    </row>
    <row r="9" customFormat="false" ht="15" hidden="false" customHeight="false" outlineLevel="0" collapsed="false">
      <c r="A9" s="3" t="s">
        <v>165</v>
      </c>
      <c r="B9" s="3" t="s">
        <v>169</v>
      </c>
      <c r="D9" s="17" t="s">
        <v>9</v>
      </c>
      <c r="E9" s="17" t="s">
        <v>186</v>
      </c>
    </row>
    <row r="10" customFormat="false" ht="15" hidden="false" customHeight="false" outlineLevel="0" collapsed="false">
      <c r="A10" s="4" t="s">
        <v>182</v>
      </c>
      <c r="B10" s="4" t="n">
        <f aca="false">COUNTIF('RFM Analysis'!$L$6:$L$75,A10)</f>
        <v>20</v>
      </c>
      <c r="D10" s="4" t="n">
        <v>0</v>
      </c>
      <c r="E10" s="12" t="n">
        <f aca="false">IFERROR(AVERAGE('Cohort Retention'!C5:C12),0)</f>
        <v>1</v>
      </c>
    </row>
    <row r="11" customFormat="false" ht="15" hidden="false" customHeight="false" outlineLevel="0" collapsed="false">
      <c r="A11" s="4" t="s">
        <v>187</v>
      </c>
      <c r="B11" s="4" t="n">
        <f aca="false">COUNTIF('RFM Analysis'!$L$6:$L$75,A11)</f>
        <v>4</v>
      </c>
      <c r="D11" s="4" t="n">
        <v>1</v>
      </c>
      <c r="E11" s="12" t="n">
        <f aca="false">IFERROR(AVERAGE('Cohort Retention'!D5:D12),0)</f>
        <v>0.530055708180708</v>
      </c>
    </row>
    <row r="12" customFormat="false" ht="15" hidden="false" customHeight="false" outlineLevel="0" collapsed="false">
      <c r="A12" s="4" t="s">
        <v>188</v>
      </c>
      <c r="B12" s="4" t="n">
        <f aca="false">COUNTIF('RFM Analysis'!$L$6:$L$75,A12)</f>
        <v>8</v>
      </c>
      <c r="D12" s="4" t="n">
        <v>2</v>
      </c>
      <c r="E12" s="12" t="n">
        <f aca="false">IFERROR(AVERAGE('Cohort Retention'!E5:E12),0)</f>
        <v>0.353037240537241</v>
      </c>
    </row>
    <row r="13" customFormat="false" ht="15" hidden="false" customHeight="false" outlineLevel="0" collapsed="false">
      <c r="A13" s="4" t="s">
        <v>189</v>
      </c>
      <c r="B13" s="4" t="n">
        <f aca="false">COUNTIF('RFM Analysis'!$L$6:$L$75,A13)</f>
        <v>10</v>
      </c>
      <c r="D13" s="4" t="n">
        <v>3</v>
      </c>
      <c r="E13" s="12" t="n">
        <f aca="false">IFERROR(AVERAGE('Cohort Retention'!F5:F12),0)</f>
        <v>0.257161935286935</v>
      </c>
    </row>
    <row r="14" customFormat="false" ht="15" hidden="false" customHeight="false" outlineLevel="0" collapsed="false">
      <c r="A14" s="4" t="s">
        <v>190</v>
      </c>
      <c r="B14" s="4" t="n">
        <f aca="false">COUNTIF('RFM Analysis'!$L$6:$L$75,A14)</f>
        <v>18</v>
      </c>
      <c r="D14" s="4" t="n">
        <v>4</v>
      </c>
      <c r="E14" s="12" t="n">
        <f aca="false">IFERROR(AVERAGE('Cohort Retention'!G5:G12),0)</f>
        <v>0.215495268620269</v>
      </c>
    </row>
    <row r="15" customFormat="false" ht="15" hidden="false" customHeight="false" outlineLevel="0" collapsed="false">
      <c r="A15" s="4" t="s">
        <v>191</v>
      </c>
      <c r="B15" s="4" t="n">
        <f aca="false">COUNTIF('RFM Analysis'!$L$6:$L$75,A15)</f>
        <v>10</v>
      </c>
      <c r="D15" s="4" t="n">
        <v>5</v>
      </c>
      <c r="E15" s="12" t="n">
        <f aca="false">IFERROR(AVERAGE('Cohort Retention'!H5:H12),0)</f>
        <v>0.166884157509158</v>
      </c>
    </row>
    <row r="16" customFormat="false" ht="15" hidden="false" customHeight="false" outlineLevel="0" collapsed="false">
      <c r="D16" s="4" t="n">
        <v>6</v>
      </c>
      <c r="E16" s="12" t="n">
        <f aca="false">IFERROR(AVERAGE('Cohort Retention'!I5:I12),0)</f>
        <v>0.133402014652015</v>
      </c>
    </row>
  </sheetData>
  <mergeCells count="11">
    <mergeCell ref="A2:H2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2026-09-24T02:05:01Z</dcterms:created>
  <dc:creator>openpyxl</dc:creator>
  <dc:description/>
  <dc:language>en-US</dc:language>
  <cp:lastModifiedBy/>
  <dcterms:modified xsi:type="dcterms:W3CDTF">2026-09-24T02:05:04Z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